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undp-my.sharepoint.com/personal/gordan_ivanovic_undp_org/Documents/Desktop/MPTF II/reporting/Q4 2025/"/>
    </mc:Choice>
  </mc:AlternateContent>
  <xr:revisionPtr revIDLastSave="403" documentId="8_{784ED52E-25B7-41B1-878E-21E144CF31CB}" xr6:coauthVersionLast="47" xr6:coauthVersionMax="47" xr10:uidLastSave="{1E606C2E-369C-4C10-A020-3BC9302AF44F}"/>
  <bookViews>
    <workbookView xWindow="-120" yWindow="-120" windowWidth="29040" windowHeight="15720" xr2:uid="{00000000-000D-0000-FFFF-FFFF00000000}"/>
  </bookViews>
  <sheets>
    <sheet name="Budget" sheetId="2" r:id="rId1"/>
    <sheet name="Budget by UNDG Category" sheetId="3" r:id="rId2"/>
  </sheets>
  <definedNames>
    <definedName name="_xlnm._FilterDatabase" localSheetId="0" hidden="1">Budget!$A$12:$L$146</definedName>
    <definedName name="UNDG_Budget_Category__please_choose_the_budget_category_from_the_drop_down_menu" localSheetId="0">'Budget by UNDG Category'!$A$7:$A$15</definedName>
    <definedName name="UNDG_Budget_Category__please_choose_the_budget_category_from_the_drop_down_menu" localSheetId="1">'Budget by UNDG Category'!$A$7:$A$15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42" i="2" l="1"/>
  <c r="V142" i="2"/>
  <c r="W141" i="2"/>
  <c r="V141" i="2"/>
  <c r="V140" i="2"/>
  <c r="V139" i="2"/>
  <c r="V138" i="2"/>
  <c r="V137" i="2"/>
  <c r="W137" i="2"/>
  <c r="W136" i="2"/>
  <c r="V136" i="2"/>
  <c r="V135" i="2"/>
  <c r="V134" i="2"/>
  <c r="V133" i="2"/>
  <c r="V132" i="2"/>
  <c r="W130" i="2"/>
  <c r="W129" i="2"/>
  <c r="W128" i="2"/>
  <c r="V130" i="2"/>
  <c r="V128" i="2"/>
  <c r="V129" i="2"/>
  <c r="W127" i="2"/>
  <c r="V127" i="2"/>
  <c r="V126" i="2"/>
  <c r="V125" i="2"/>
  <c r="V124" i="2"/>
  <c r="V119" i="2"/>
  <c r="W119" i="2" s="1"/>
  <c r="V118" i="2"/>
  <c r="U117" i="2"/>
  <c r="V116" i="2"/>
  <c r="W116" i="2" s="1"/>
  <c r="V114" i="2"/>
  <c r="W108" i="2"/>
  <c r="W107" i="2"/>
  <c r="V113" i="2"/>
  <c r="V112" i="2"/>
  <c r="V111" i="2"/>
  <c r="V110" i="2"/>
  <c r="V109" i="2"/>
  <c r="V108" i="2"/>
  <c r="V107" i="2"/>
  <c r="W103" i="2"/>
  <c r="W99" i="2"/>
  <c r="V105" i="2"/>
  <c r="V104" i="2"/>
  <c r="V103" i="2"/>
  <c r="V102" i="2"/>
  <c r="V101" i="2"/>
  <c r="V100" i="2"/>
  <c r="V99" i="2"/>
  <c r="W96" i="2"/>
  <c r="V95" i="2"/>
  <c r="V94" i="2"/>
  <c r="V93" i="2"/>
  <c r="V92" i="2"/>
  <c r="V91" i="2"/>
  <c r="V90" i="2"/>
  <c r="V88" i="2"/>
  <c r="V87" i="2"/>
  <c r="V86" i="2"/>
  <c r="V85" i="2"/>
  <c r="V89" i="2" s="1"/>
  <c r="V84" i="2"/>
  <c r="V82" i="2"/>
  <c r="V83" i="2" s="1"/>
  <c r="W80" i="2"/>
  <c r="W79" i="2"/>
  <c r="W78" i="2"/>
  <c r="V80" i="2"/>
  <c r="V79" i="2"/>
  <c r="V78" i="2"/>
  <c r="V76" i="2"/>
  <c r="V75" i="2"/>
  <c r="V74" i="2"/>
  <c r="U73" i="2"/>
  <c r="V73" i="2"/>
  <c r="V70" i="2"/>
  <c r="V72" i="2"/>
  <c r="V71" i="2"/>
  <c r="V69" i="2"/>
  <c r="V68" i="2"/>
  <c r="V67" i="2"/>
  <c r="V66" i="2"/>
  <c r="V65" i="2"/>
  <c r="U64" i="2"/>
  <c r="V64" i="2"/>
  <c r="W64" i="2"/>
  <c r="U63" i="2"/>
  <c r="V63" i="2"/>
  <c r="W63" i="2"/>
  <c r="W62" i="2"/>
  <c r="W61" i="2"/>
  <c r="W60" i="2"/>
  <c r="W59" i="2"/>
  <c r="W58" i="2"/>
  <c r="V61" i="2"/>
  <c r="V60" i="2"/>
  <c r="V59" i="2"/>
  <c r="V58" i="2"/>
  <c r="W57" i="2"/>
  <c r="W56" i="2"/>
  <c r="V56" i="2"/>
  <c r="V55" i="2"/>
  <c r="W52" i="2"/>
  <c r="V53" i="2"/>
  <c r="V52" i="2"/>
  <c r="W51" i="2"/>
  <c r="W50" i="2"/>
  <c r="W49" i="2"/>
  <c r="W48" i="2"/>
  <c r="W47" i="2"/>
  <c r="W46" i="2"/>
  <c r="W45" i="2"/>
  <c r="W44" i="2"/>
  <c r="W43" i="2"/>
  <c r="V50" i="2"/>
  <c r="V49" i="2"/>
  <c r="V48" i="2"/>
  <c r="V47" i="2"/>
  <c r="V46" i="2"/>
  <c r="V45" i="2"/>
  <c r="V44" i="2"/>
  <c r="V43" i="2"/>
  <c r="W37" i="2"/>
  <c r="V41" i="2"/>
  <c r="V40" i="2"/>
  <c r="V39" i="2"/>
  <c r="V38" i="2"/>
  <c r="V37" i="2"/>
  <c r="W36" i="2"/>
  <c r="W35" i="2"/>
  <c r="W34" i="2"/>
  <c r="W33" i="2"/>
  <c r="W32" i="2"/>
  <c r="W31" i="2"/>
  <c r="W30" i="2"/>
  <c r="W29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36" i="2" s="1"/>
  <c r="U141" i="2"/>
  <c r="U137" i="2"/>
  <c r="U131" i="2"/>
  <c r="U127" i="2"/>
  <c r="U120" i="2"/>
  <c r="U114" i="2"/>
  <c r="U106" i="2"/>
  <c r="U115" i="2" s="1"/>
  <c r="U96" i="2"/>
  <c r="U89" i="2"/>
  <c r="U81" i="2"/>
  <c r="U77" i="2"/>
  <c r="U62" i="2"/>
  <c r="U57" i="2"/>
  <c r="U54" i="2"/>
  <c r="U42" i="2"/>
  <c r="U36" i="2"/>
  <c r="U51" i="2" s="1"/>
  <c r="L120" i="2"/>
  <c r="L117" i="2"/>
  <c r="L121" i="2" s="1"/>
  <c r="L122" i="2" s="1"/>
  <c r="L114" i="2"/>
  <c r="L98" i="2"/>
  <c r="L96" i="2"/>
  <c r="L81" i="2"/>
  <c r="L49" i="2"/>
  <c r="L48" i="2"/>
  <c r="L47" i="2"/>
  <c r="L46" i="2"/>
  <c r="L45" i="2"/>
  <c r="L44" i="2"/>
  <c r="L43" i="2"/>
  <c r="L50" i="2" s="1"/>
  <c r="L34" i="2"/>
  <c r="L33" i="2"/>
  <c r="L32" i="2"/>
  <c r="L31" i="2"/>
  <c r="L30" i="2"/>
  <c r="L25" i="2"/>
  <c r="V106" i="2" l="1"/>
  <c r="U82" i="2"/>
  <c r="U83" i="2" s="1"/>
  <c r="U142" i="2"/>
  <c r="U97" i="2"/>
  <c r="U98" i="2" s="1"/>
  <c r="W25" i="2"/>
  <c r="J25" i="2"/>
  <c r="T36" i="2"/>
  <c r="T141" i="2" l="1"/>
  <c r="T114" i="2"/>
  <c r="T106" i="2"/>
  <c r="T42" i="2"/>
  <c r="T54" i="2"/>
  <c r="T57" i="2"/>
  <c r="T62" i="2"/>
  <c r="T73" i="2"/>
  <c r="T77" i="2"/>
  <c r="T81" i="2"/>
  <c r="T89" i="2"/>
  <c r="T96" i="2"/>
  <c r="T116" i="2"/>
  <c r="T120" i="2"/>
  <c r="T137" i="2"/>
  <c r="T131" i="2"/>
  <c r="T127" i="2"/>
  <c r="R62" i="2"/>
  <c r="T142" i="2" l="1"/>
  <c r="T115" i="2"/>
  <c r="T97" i="2"/>
  <c r="T98" i="2" s="1"/>
  <c r="T51" i="2"/>
  <c r="T63" i="2"/>
  <c r="T82" i="2"/>
  <c r="T83" i="2" s="1"/>
  <c r="S141" i="2"/>
  <c r="S137" i="2"/>
  <c r="S131" i="2"/>
  <c r="S127" i="2"/>
  <c r="S120" i="2"/>
  <c r="S117" i="2"/>
  <c r="S114" i="2"/>
  <c r="S106" i="2"/>
  <c r="S96" i="2"/>
  <c r="S89" i="2"/>
  <c r="S81" i="2"/>
  <c r="S77" i="2"/>
  <c r="S73" i="2"/>
  <c r="S62" i="2"/>
  <c r="S57" i="2"/>
  <c r="S54" i="2"/>
  <c r="S42" i="2"/>
  <c r="S36" i="2"/>
  <c r="T64" i="2" l="1"/>
  <c r="S121" i="2"/>
  <c r="S115" i="2"/>
  <c r="S63" i="2"/>
  <c r="S82" i="2"/>
  <c r="S83" i="2" s="1"/>
  <c r="S97" i="2"/>
  <c r="S98" i="2" s="1"/>
  <c r="S142" i="2"/>
  <c r="S51" i="2"/>
  <c r="Q42" i="2"/>
  <c r="R42" i="2"/>
  <c r="R141" i="2"/>
  <c r="R137" i="2"/>
  <c r="R131" i="2"/>
  <c r="R127" i="2"/>
  <c r="R120" i="2"/>
  <c r="R117" i="2"/>
  <c r="R114" i="2"/>
  <c r="R106" i="2"/>
  <c r="R96" i="2"/>
  <c r="R89" i="2"/>
  <c r="R81" i="2"/>
  <c r="R77" i="2"/>
  <c r="R73" i="2"/>
  <c r="R57" i="2"/>
  <c r="R54" i="2"/>
  <c r="R36" i="2"/>
  <c r="M131" i="2"/>
  <c r="M141" i="2"/>
  <c r="M137" i="2"/>
  <c r="M127" i="2"/>
  <c r="M120" i="2"/>
  <c r="M117" i="2"/>
  <c r="M114" i="2"/>
  <c r="M106" i="2"/>
  <c r="M96" i="2"/>
  <c r="M89" i="2"/>
  <c r="M81" i="2"/>
  <c r="M77" i="2"/>
  <c r="M73" i="2"/>
  <c r="M62" i="2"/>
  <c r="M57" i="2"/>
  <c r="M54" i="2"/>
  <c r="M42" i="2"/>
  <c r="M36" i="2"/>
  <c r="M51" i="2" l="1"/>
  <c r="R63" i="2"/>
  <c r="S122" i="2"/>
  <c r="S64" i="2"/>
  <c r="M115" i="2"/>
  <c r="V54" i="2"/>
  <c r="M63" i="2"/>
  <c r="V42" i="2"/>
  <c r="M142" i="2"/>
  <c r="R121" i="2"/>
  <c r="V81" i="2"/>
  <c r="R142" i="2"/>
  <c r="M82" i="2"/>
  <c r="M83" i="2" s="1"/>
  <c r="M97" i="2"/>
  <c r="M98" i="2" s="1"/>
  <c r="R115" i="2"/>
  <c r="R97" i="2"/>
  <c r="R98" i="2" s="1"/>
  <c r="R82" i="2"/>
  <c r="R83" i="2" s="1"/>
  <c r="R51" i="2"/>
  <c r="M121" i="2"/>
  <c r="Q137" i="2"/>
  <c r="Q131" i="2"/>
  <c r="Q127" i="2"/>
  <c r="Q114" i="2"/>
  <c r="Q106" i="2"/>
  <c r="Q96" i="2"/>
  <c r="Q89" i="2"/>
  <c r="Q81" i="2"/>
  <c r="Q73" i="2"/>
  <c r="Q57" i="2"/>
  <c r="Q36" i="2"/>
  <c r="S123" i="2" l="1"/>
  <c r="S143" i="2"/>
  <c r="S144" i="2" s="1"/>
  <c r="S145" i="2" s="1"/>
  <c r="M64" i="2"/>
  <c r="M122" i="2"/>
  <c r="R64" i="2"/>
  <c r="R122" i="2"/>
  <c r="Q51" i="2"/>
  <c r="Q97" i="2"/>
  <c r="Q54" i="2"/>
  <c r="Q62" i="2"/>
  <c r="Q77" i="2"/>
  <c r="Q82" i="2" s="1"/>
  <c r="Q117" i="2"/>
  <c r="Q120" i="2"/>
  <c r="Q141" i="2"/>
  <c r="Q142" i="2" s="1"/>
  <c r="M143" i="2" l="1"/>
  <c r="M144" i="2" s="1"/>
  <c r="M145" i="2" s="1"/>
  <c r="M123" i="2"/>
  <c r="R143" i="2"/>
  <c r="R144" i="2" s="1"/>
  <c r="R145" i="2" s="1"/>
  <c r="R123" i="2"/>
  <c r="Q98" i="2"/>
  <c r="Q115" i="2"/>
  <c r="V77" i="2"/>
  <c r="Q121" i="2"/>
  <c r="Q63" i="2"/>
  <c r="Q64" i="2" s="1"/>
  <c r="Q83" i="2"/>
  <c r="Q122" i="2" l="1"/>
  <c r="Q123" i="2" s="1"/>
  <c r="Q143" i="2" l="1"/>
  <c r="Q144" i="2" l="1"/>
  <c r="Q145" i="2" s="1"/>
  <c r="P141" i="2"/>
  <c r="P137" i="2"/>
  <c r="P131" i="2"/>
  <c r="P127" i="2"/>
  <c r="P120" i="2"/>
  <c r="P117" i="2"/>
  <c r="P114" i="2"/>
  <c r="P106" i="2"/>
  <c r="P96" i="2"/>
  <c r="P89" i="2"/>
  <c r="P81" i="2"/>
  <c r="P77" i="2"/>
  <c r="P73" i="2"/>
  <c r="P54" i="2"/>
  <c r="P62" i="2"/>
  <c r="P57" i="2"/>
  <c r="P42" i="2"/>
  <c r="P36" i="2"/>
  <c r="O141" i="2"/>
  <c r="O137" i="2"/>
  <c r="O131" i="2"/>
  <c r="O127" i="2"/>
  <c r="O120" i="2"/>
  <c r="O117" i="2"/>
  <c r="O114" i="2"/>
  <c r="O106" i="2"/>
  <c r="O96" i="2"/>
  <c r="O89" i="2"/>
  <c r="O81" i="2"/>
  <c r="O77" i="2"/>
  <c r="O73" i="2"/>
  <c r="O62" i="2"/>
  <c r="O57" i="2"/>
  <c r="O54" i="2"/>
  <c r="O42" i="2"/>
  <c r="O36" i="2"/>
  <c r="N141" i="2"/>
  <c r="N137" i="2"/>
  <c r="N131" i="2"/>
  <c r="N127" i="2"/>
  <c r="N120" i="2"/>
  <c r="N117" i="2"/>
  <c r="N114" i="2"/>
  <c r="N106" i="2"/>
  <c r="N96" i="2"/>
  <c r="N89" i="2"/>
  <c r="N81" i="2"/>
  <c r="N77" i="2"/>
  <c r="N73" i="2"/>
  <c r="N62" i="2"/>
  <c r="N57" i="2"/>
  <c r="N54" i="2"/>
  <c r="N42" i="2"/>
  <c r="N36" i="2"/>
  <c r="T117" i="2" l="1"/>
  <c r="T121" i="2" s="1"/>
  <c r="T122" i="2" s="1"/>
  <c r="T143" i="2" s="1"/>
  <c r="P97" i="2"/>
  <c r="P98" i="2" s="1"/>
  <c r="P121" i="2"/>
  <c r="P63" i="2"/>
  <c r="P115" i="2"/>
  <c r="P51" i="2"/>
  <c r="P82" i="2"/>
  <c r="P83" i="2" s="1"/>
  <c r="O142" i="2"/>
  <c r="P142" i="2"/>
  <c r="O121" i="2"/>
  <c r="O97" i="2"/>
  <c r="O98" i="2" s="1"/>
  <c r="O82" i="2"/>
  <c r="O83" i="2" s="1"/>
  <c r="O63" i="2"/>
  <c r="O51" i="2"/>
  <c r="O115" i="2"/>
  <c r="N142" i="2"/>
  <c r="N115" i="2"/>
  <c r="N63" i="2"/>
  <c r="N82" i="2"/>
  <c r="N83" i="2" s="1"/>
  <c r="N121" i="2"/>
  <c r="N51" i="2"/>
  <c r="N97" i="2"/>
  <c r="N98" i="2" s="1"/>
  <c r="U121" i="2" l="1"/>
  <c r="U122" i="2" s="1"/>
  <c r="U143" i="2" s="1"/>
  <c r="U144" i="2" s="1"/>
  <c r="U123" i="2"/>
  <c r="T123" i="2"/>
  <c r="T144" i="2"/>
  <c r="T145" i="2" s="1"/>
  <c r="P122" i="2"/>
  <c r="P64" i="2"/>
  <c r="O122" i="2"/>
  <c r="O64" i="2"/>
  <c r="N122" i="2"/>
  <c r="N64" i="2"/>
  <c r="U145" i="2" l="1"/>
  <c r="P143" i="2"/>
  <c r="P144" i="2" s="1"/>
  <c r="P145" i="2" s="1"/>
  <c r="P123" i="2"/>
  <c r="N143" i="2"/>
  <c r="N144" i="2" s="1"/>
  <c r="N145" i="2" s="1"/>
  <c r="O143" i="2"/>
  <c r="O123" i="2"/>
  <c r="N123" i="2"/>
  <c r="O144" i="2" l="1"/>
  <c r="O145" i="2" s="1"/>
  <c r="V131" i="2" l="1"/>
  <c r="V120" i="2"/>
  <c r="V121" i="2" s="1"/>
  <c r="V117" i="2"/>
  <c r="V51" i="2"/>
  <c r="V57" i="2"/>
  <c r="V62" i="2"/>
  <c r="V96" i="2"/>
  <c r="V115" i="2" l="1"/>
  <c r="V122" i="2" s="1"/>
  <c r="V97" i="2"/>
  <c r="V98" i="2" s="1"/>
  <c r="E14" i="3"/>
  <c r="E8" i="3"/>
  <c r="E9" i="3"/>
  <c r="E10" i="3"/>
  <c r="E11" i="3"/>
  <c r="E12" i="3"/>
  <c r="E13" i="3"/>
  <c r="E7" i="3"/>
  <c r="D14" i="3"/>
  <c r="C14" i="3"/>
  <c r="B14" i="3"/>
  <c r="D15" i="3"/>
  <c r="B15" i="3"/>
  <c r="L138" i="2"/>
  <c r="W138" i="2" s="1"/>
  <c r="L139" i="2"/>
  <c r="W139" i="2" s="1"/>
  <c r="L140" i="2"/>
  <c r="W140" i="2" s="1"/>
  <c r="K141" i="2"/>
  <c r="J141" i="2"/>
  <c r="I141" i="2"/>
  <c r="V123" i="2" l="1"/>
  <c r="V143" i="2"/>
  <c r="L141" i="2"/>
  <c r="V144" i="2" l="1"/>
  <c r="V145" i="2" s="1"/>
  <c r="J119" i="2"/>
  <c r="K116" i="2"/>
  <c r="J113" i="2"/>
  <c r="J112" i="2"/>
  <c r="J111" i="2"/>
  <c r="J110" i="2"/>
  <c r="J109" i="2"/>
  <c r="J108" i="2"/>
  <c r="K105" i="2"/>
  <c r="L105" i="2" s="1"/>
  <c r="W105" i="2" s="1"/>
  <c r="K104" i="2"/>
  <c r="J104" i="2"/>
  <c r="K103" i="2"/>
  <c r="J103" i="2"/>
  <c r="K102" i="2"/>
  <c r="L102" i="2" s="1"/>
  <c r="W102" i="2" s="1"/>
  <c r="K101" i="2"/>
  <c r="K100" i="2"/>
  <c r="J95" i="2"/>
  <c r="J94" i="2"/>
  <c r="J93" i="2"/>
  <c r="J92" i="2"/>
  <c r="J91" i="2"/>
  <c r="K88" i="2"/>
  <c r="L88" i="2" s="1"/>
  <c r="W88" i="2" s="1"/>
  <c r="K87" i="2"/>
  <c r="J87" i="2"/>
  <c r="J86" i="2"/>
  <c r="K86" i="2"/>
  <c r="K85" i="2"/>
  <c r="K80" i="2"/>
  <c r="K79" i="2"/>
  <c r="J78" i="2"/>
  <c r="J76" i="2"/>
  <c r="J75" i="2"/>
  <c r="K72" i="2"/>
  <c r="L72" i="2" s="1"/>
  <c r="W72" i="2" s="1"/>
  <c r="K71" i="2"/>
  <c r="J71" i="2"/>
  <c r="K70" i="2"/>
  <c r="J70" i="2"/>
  <c r="K69" i="2"/>
  <c r="W69" i="2" s="1"/>
  <c r="W73" i="2" s="1"/>
  <c r="W82" i="2" s="1"/>
  <c r="K68" i="2"/>
  <c r="K67" i="2"/>
  <c r="K66" i="2"/>
  <c r="K61" i="2"/>
  <c r="K60" i="2"/>
  <c r="J59" i="2"/>
  <c r="J58" i="2"/>
  <c r="J56" i="2"/>
  <c r="J55" i="2"/>
  <c r="K53" i="2"/>
  <c r="J53" i="2"/>
  <c r="K52" i="2"/>
  <c r="J52" i="2"/>
  <c r="J41" i="2"/>
  <c r="J40" i="2"/>
  <c r="J39" i="2"/>
  <c r="J38" i="2"/>
  <c r="J37" i="2"/>
  <c r="L37" i="2" s="1"/>
  <c r="K29" i="2"/>
  <c r="L29" i="2" s="1"/>
  <c r="K28" i="2"/>
  <c r="J28" i="2"/>
  <c r="K27" i="2"/>
  <c r="J27" i="2"/>
  <c r="K26" i="2"/>
  <c r="J26" i="2"/>
  <c r="K24" i="2"/>
  <c r="J24" i="2"/>
  <c r="J23" i="2"/>
  <c r="J22" i="2"/>
  <c r="J21" i="2"/>
  <c r="L21" i="2" s="1"/>
  <c r="W21" i="2" s="1"/>
  <c r="J20" i="2"/>
  <c r="L20" i="2" s="1"/>
  <c r="J19" i="2"/>
  <c r="W19" i="2" s="1"/>
  <c r="J18" i="2"/>
  <c r="W18" i="2" s="1"/>
  <c r="J17" i="2"/>
  <c r="W17" i="2" s="1"/>
  <c r="J16" i="2"/>
  <c r="W16" i="2" s="1"/>
  <c r="J15" i="2"/>
  <c r="K14" i="2"/>
  <c r="J90" i="2"/>
  <c r="I13" i="2"/>
  <c r="L126" i="2"/>
  <c r="I120" i="2"/>
  <c r="I96" i="2"/>
  <c r="I81" i="2"/>
  <c r="J118" i="2"/>
  <c r="J107" i="2"/>
  <c r="I99" i="2"/>
  <c r="I106" i="2" s="1"/>
  <c r="K42" i="2"/>
  <c r="I42" i="2"/>
  <c r="I84" i="2"/>
  <c r="I89" i="2" s="1"/>
  <c r="J74" i="2"/>
  <c r="I65" i="2"/>
  <c r="I73" i="2" s="1"/>
  <c r="W126" i="2" l="1"/>
  <c r="L127" i="2"/>
  <c r="W20" i="2"/>
  <c r="J106" i="2"/>
  <c r="I36" i="2"/>
  <c r="J73" i="2"/>
  <c r="L87" i="2"/>
  <c r="W87" i="2" s="1"/>
  <c r="L26" i="2"/>
  <c r="W26" i="2" s="1"/>
  <c r="L27" i="2"/>
  <c r="W27" i="2" s="1"/>
  <c r="L103" i="2"/>
  <c r="L104" i="2"/>
  <c r="W104" i="2" s="1"/>
  <c r="L28" i="2"/>
  <c r="W28" i="2" s="1"/>
  <c r="L71" i="2"/>
  <c r="W71" i="2" s="1"/>
  <c r="K106" i="2"/>
  <c r="K36" i="2"/>
  <c r="L86" i="2"/>
  <c r="W86" i="2" s="1"/>
  <c r="K120" i="2"/>
  <c r="I62" i="2"/>
  <c r="J62" i="2"/>
  <c r="I97" i="2"/>
  <c r="J81" i="2"/>
  <c r="J120" i="2"/>
  <c r="K73" i="2"/>
  <c r="K96" i="2"/>
  <c r="J96" i="2"/>
  <c r="J89" i="2"/>
  <c r="K89" i="2"/>
  <c r="K81" i="2"/>
  <c r="K62" i="2"/>
  <c r="J36" i="2"/>
  <c r="J42" i="2"/>
  <c r="K117" i="2"/>
  <c r="J117" i="2"/>
  <c r="K114" i="2"/>
  <c r="I114" i="2"/>
  <c r="K77" i="2"/>
  <c r="I77" i="2"/>
  <c r="L70" i="2"/>
  <c r="W70" i="2" s="1"/>
  <c r="L68" i="2"/>
  <c r="W67" i="2"/>
  <c r="I57" i="2"/>
  <c r="L53" i="2"/>
  <c r="W53" i="2" s="1"/>
  <c r="L52" i="2"/>
  <c r="K54" i="2"/>
  <c r="J54" i="2"/>
  <c r="I54" i="2"/>
  <c r="W118" i="2"/>
  <c r="W90" i="2"/>
  <c r="W74" i="2"/>
  <c r="I117" i="2"/>
  <c r="W117" i="2"/>
  <c r="W65" i="2"/>
  <c r="L85" i="2"/>
  <c r="W109" i="2"/>
  <c r="L101" i="2"/>
  <c r="W101" i="2" s="1"/>
  <c r="L100" i="2"/>
  <c r="W95" i="2"/>
  <c r="W94" i="2"/>
  <c r="W93" i="2"/>
  <c r="W92" i="2"/>
  <c r="W91" i="2"/>
  <c r="W76" i="2"/>
  <c r="W75" i="2"/>
  <c r="W66" i="2"/>
  <c r="L24" i="2"/>
  <c r="W24" i="2" s="1"/>
  <c r="W23" i="2"/>
  <c r="W22" i="2"/>
  <c r="W15" i="2"/>
  <c r="W14" i="2"/>
  <c r="W100" i="2" l="1"/>
  <c r="W106" i="2" s="1"/>
  <c r="W115" i="2" s="1"/>
  <c r="L106" i="2"/>
  <c r="W85" i="2"/>
  <c r="W89" i="2" s="1"/>
  <c r="W97" i="2" s="1"/>
  <c r="L89" i="2"/>
  <c r="W68" i="2"/>
  <c r="L73" i="2"/>
  <c r="L82" i="2" s="1"/>
  <c r="L83" i="2" s="1"/>
  <c r="L36" i="2"/>
  <c r="L51" i="2" s="1"/>
  <c r="W54" i="2"/>
  <c r="W120" i="2"/>
  <c r="W121" i="2" s="1"/>
  <c r="W81" i="2"/>
  <c r="W110" i="2"/>
  <c r="W41" i="2"/>
  <c r="J51" i="2"/>
  <c r="K51" i="2"/>
  <c r="I115" i="2"/>
  <c r="W84" i="2"/>
  <c r="K115" i="2"/>
  <c r="L54" i="2"/>
  <c r="J97" i="2"/>
  <c r="K97" i="2"/>
  <c r="W13" i="2"/>
  <c r="J114" i="2"/>
  <c r="J115" i="2" s="1"/>
  <c r="J77" i="2"/>
  <c r="W39" i="2"/>
  <c r="I51" i="2"/>
  <c r="I137" i="2"/>
  <c r="L135" i="2"/>
  <c r="W135" i="2" s="1"/>
  <c r="W125" i="2"/>
  <c r="K137" i="2"/>
  <c r="J137" i="2"/>
  <c r="L136" i="2"/>
  <c r="L134" i="2"/>
  <c r="W134" i="2" s="1"/>
  <c r="L133" i="2"/>
  <c r="W133" i="2" s="1"/>
  <c r="L132" i="2"/>
  <c r="W132" i="2" s="1"/>
  <c r="K131" i="2"/>
  <c r="J131" i="2"/>
  <c r="I131" i="2"/>
  <c r="L128" i="2"/>
  <c r="K127" i="2"/>
  <c r="J127" i="2"/>
  <c r="I127" i="2"/>
  <c r="W124" i="2"/>
  <c r="L62" i="2"/>
  <c r="L61" i="2"/>
  <c r="L60" i="2"/>
  <c r="L59" i="2"/>
  <c r="L58" i="2"/>
  <c r="K57" i="2"/>
  <c r="K63" i="2" s="1"/>
  <c r="J57" i="2"/>
  <c r="J63" i="2" s="1"/>
  <c r="L56" i="2"/>
  <c r="L55" i="2"/>
  <c r="W55" i="2" s="1"/>
  <c r="W98" i="2" l="1"/>
  <c r="W131" i="2"/>
  <c r="L131" i="2"/>
  <c r="K142" i="2"/>
  <c r="W83" i="2"/>
  <c r="W111" i="2"/>
  <c r="E15" i="3"/>
  <c r="E16" i="3" s="1"/>
  <c r="I142" i="2"/>
  <c r="J142" i="2"/>
  <c r="K64" i="2"/>
  <c r="L38" i="2"/>
  <c r="W38" i="2" s="1"/>
  <c r="W40" i="2"/>
  <c r="K121" i="2"/>
  <c r="J121" i="2"/>
  <c r="J122" i="2" s="1"/>
  <c r="I121" i="2"/>
  <c r="I122" i="2" s="1"/>
  <c r="I98" i="2"/>
  <c r="K82" i="2"/>
  <c r="K83" i="2" s="1"/>
  <c r="K98" i="2"/>
  <c r="L137" i="2"/>
  <c r="J98" i="2"/>
  <c r="I82" i="2"/>
  <c r="J82" i="2"/>
  <c r="J83" i="2" s="1"/>
  <c r="L57" i="2"/>
  <c r="I63" i="2"/>
  <c r="I64" i="2" s="1"/>
  <c r="L142" i="2" l="1"/>
  <c r="W42" i="2"/>
  <c r="W112" i="2"/>
  <c r="L63" i="2"/>
  <c r="L64" i="2" s="1"/>
  <c r="I83" i="2"/>
  <c r="K122" i="2"/>
  <c r="K123" i="2" s="1"/>
  <c r="D16" i="3"/>
  <c r="C15" i="3"/>
  <c r="C16" i="3" s="1"/>
  <c r="K143" i="2" l="1"/>
  <c r="K144" i="2" s="1"/>
  <c r="W113" i="2"/>
  <c r="W114" i="2" s="1"/>
  <c r="W122" i="2" s="1"/>
  <c r="B16" i="3"/>
  <c r="I123" i="2"/>
  <c r="I143" i="2"/>
  <c r="J64" i="2"/>
  <c r="J123" i="2" s="1"/>
  <c r="W123" i="2" l="1"/>
  <c r="L123" i="2"/>
  <c r="L143" i="2" s="1"/>
  <c r="J143" i="2"/>
  <c r="K145" i="2"/>
  <c r="M146" i="2" s="1"/>
  <c r="I144" i="2"/>
  <c r="I145" i="2" s="1"/>
  <c r="L144" i="2" l="1"/>
  <c r="L145" i="2"/>
  <c r="J144" i="2"/>
  <c r="W144" i="2" s="1"/>
  <c r="W143" i="2"/>
  <c r="S146" i="2" l="1"/>
  <c r="R146" i="2"/>
  <c r="T146" i="2"/>
  <c r="U146" i="2"/>
  <c r="V146" i="2"/>
  <c r="W145" i="2"/>
  <c r="J145" i="2"/>
  <c r="Q146" i="2" l="1"/>
  <c r="P146" i="2"/>
  <c r="N146" i="2"/>
  <c r="O146" i="2"/>
</calcChain>
</file>

<file path=xl/sharedStrings.xml><?xml version="1.0" encoding="utf-8"?>
<sst xmlns="http://schemas.openxmlformats.org/spreadsheetml/2006/main" count="405" uniqueCount="208">
  <si>
    <t>Project Proposal Budget</t>
  </si>
  <si>
    <t>Title of Project Proposal: ……</t>
  </si>
  <si>
    <t>Implementing entity:</t>
  </si>
  <si>
    <t xml:space="preserve">Project implementation period: </t>
  </si>
  <si>
    <t>Please add or delete lines and columns, as necessary.</t>
  </si>
  <si>
    <t>Activities</t>
  </si>
  <si>
    <t>Total Activity 1.1.1</t>
  </si>
  <si>
    <t>Total Activity 1.1.2</t>
  </si>
  <si>
    <t>Total Output 1.1</t>
  </si>
  <si>
    <t>Total Activity 1.2.1</t>
  </si>
  <si>
    <t>International expert for curriculum development/training delivery on documenting  injuries on victims during medical examinations</t>
  </si>
  <si>
    <t>Total Activity 1.2.2</t>
  </si>
  <si>
    <t>International expert for analysis of interviewing procedures and daily routines in SGBV cases</t>
  </si>
  <si>
    <t>International expert for SOP (Protocol) development on interviewing techniques for CSI officers</t>
  </si>
  <si>
    <t>International expert for curriculum development/training delivery on SOP</t>
  </si>
  <si>
    <t>Total Activity 1.2.3</t>
  </si>
  <si>
    <t>Total Output 1.2</t>
  </si>
  <si>
    <t>Total Outcome 1</t>
  </si>
  <si>
    <t>Ballistic radar (chronograph)</t>
  </si>
  <si>
    <t>Multifunctional device for safe discharging of firearms</t>
  </si>
  <si>
    <t>Total Activity 2.1.1</t>
  </si>
  <si>
    <t>Equipping the gunsmith workshop</t>
  </si>
  <si>
    <t>Refurbishing the shooting range</t>
  </si>
  <si>
    <t>Total Activity 2.1.2</t>
  </si>
  <si>
    <t>Supporting delivery of proficiency test(s)</t>
  </si>
  <si>
    <t>Company for delivering the training for internal auditors</t>
  </si>
  <si>
    <t>Total Activity 2.1.3</t>
  </si>
  <si>
    <t>Total Output 2.1</t>
  </si>
  <si>
    <t>Total Outcome 2</t>
  </si>
  <si>
    <t>Safety container (module) for transporting explosives (cca 20g TNT equivalent)</t>
  </si>
  <si>
    <t xml:space="preserve">First aid kits (e.g., wall cabinets) </t>
  </si>
  <si>
    <t xml:space="preserve">Device for testing of optical cables for examination of detonation velocity </t>
  </si>
  <si>
    <t>Consumable material, such as 4-channel optical extension line, etc.</t>
  </si>
  <si>
    <t>Total Activity 3.1.1</t>
  </si>
  <si>
    <t>International expert for establishing and validating a new method</t>
  </si>
  <si>
    <t>Total Activity 3.1.2</t>
  </si>
  <si>
    <t>Total Output 3.1</t>
  </si>
  <si>
    <t>Total Outcome 3</t>
  </si>
  <si>
    <t>Rotary vacuum evaporator</t>
  </si>
  <si>
    <t>Laboratory mill</t>
  </si>
  <si>
    <t>Total Activity 4.1.1</t>
  </si>
  <si>
    <t>International expert for revising SOPs for processing of explosives and traces, including improved preparation of the explosives samples</t>
  </si>
  <si>
    <t>International expert for revising SOPs for anti-contamination measures</t>
  </si>
  <si>
    <t>Total Activity 4.1.2</t>
  </si>
  <si>
    <t>Total Output 4.1</t>
  </si>
  <si>
    <t>Total Activity 4.2.1</t>
  </si>
  <si>
    <t>Total Activity 4.2.2</t>
  </si>
  <si>
    <t>Total Output 4.2</t>
  </si>
  <si>
    <t>Total Outcome 4</t>
  </si>
  <si>
    <t>Project Management</t>
  </si>
  <si>
    <t>Human Resources</t>
  </si>
  <si>
    <t>Total Human Resources</t>
  </si>
  <si>
    <t>Travel</t>
  </si>
  <si>
    <t>Total Travel</t>
  </si>
  <si>
    <t>Running costs</t>
  </si>
  <si>
    <t>Total Running costs</t>
  </si>
  <si>
    <t>Total PM:</t>
  </si>
  <si>
    <t>TOTAL costs of activities &amp; PM</t>
  </si>
  <si>
    <t>GMS 7%</t>
  </si>
  <si>
    <t>TOTAL Budget (GMS included)</t>
  </si>
  <si>
    <t>TOTAL</t>
  </si>
  <si>
    <t>Indirect Support Costs</t>
  </si>
  <si>
    <t>General Operating and Other Direct Costs</t>
  </si>
  <si>
    <t>Contractual Services</t>
  </si>
  <si>
    <t>Staff and other personnel costs</t>
  </si>
  <si>
    <t>UNDG Budget Category</t>
  </si>
  <si>
    <t>Budget per UNDG categories</t>
  </si>
  <si>
    <t>Technical balance 1,500 – 1,700 g</t>
  </si>
  <si>
    <t>Bench-top balance 60 kg</t>
  </si>
  <si>
    <t>Travel costs local (costs of taxi service)</t>
  </si>
  <si>
    <t>Per diems international</t>
  </si>
  <si>
    <t>Office rent</t>
  </si>
  <si>
    <t>Consumables - office supplies</t>
  </si>
  <si>
    <t>Other services (tel/fax, electricity/heating, maintenance)</t>
  </si>
  <si>
    <t>Financial services (bank charges etc.)</t>
  </si>
  <si>
    <t xml:space="preserve">Description of expense </t>
  </si>
  <si>
    <t>Unit</t>
  </si>
  <si>
    <t>Nr. Units</t>
  </si>
  <si>
    <t>Unit Cost</t>
  </si>
  <si>
    <t>piece</t>
  </si>
  <si>
    <t>month</t>
  </si>
  <si>
    <t>day</t>
  </si>
  <si>
    <t>lumpsum</t>
  </si>
  <si>
    <t>Travel costs international</t>
  </si>
  <si>
    <t>End-user training for the explosive detector (1 day, 10 participants)</t>
  </si>
  <si>
    <t>lump</t>
  </si>
  <si>
    <t>person</t>
  </si>
  <si>
    <t>Implementing entity: UNDP CO Montenegro</t>
  </si>
  <si>
    <t>GCMS (Gas chromatography-mass spectrometry device)</t>
  </si>
  <si>
    <t>HPLC LC/MS/MS (High Performance Liquid Chromatography with tandem mass spectrometry device) upgrade</t>
  </si>
  <si>
    <t>SEM/EDX (Scanning electron microscopy/energy dispersive X-ray analysis device)</t>
  </si>
  <si>
    <t>Outcome 1. Improved overall Crime Scene Investigation (CSI) capacities in Montenegro  for investigating FAE-related crime</t>
  </si>
  <si>
    <t>Outcome 3. Improved capacities for physical examination of explosives/explosive devices</t>
  </si>
  <si>
    <t>Outcome 4. Improved capacities for chemical examination of explosives and GSR</t>
  </si>
  <si>
    <t>Project Manager 24 months full time</t>
  </si>
  <si>
    <t>Project Assistant 24 months full time</t>
  </si>
  <si>
    <t>Communication Officer 20% in the 2nd and 3rd year</t>
  </si>
  <si>
    <r>
      <t xml:space="preserve">Title of Project Proposal: </t>
    </r>
    <r>
      <rPr>
        <b/>
        <sz val="10"/>
        <color theme="4" tint="-0.499984740745262"/>
        <rFont val="Calibri"/>
        <family val="2"/>
        <scheme val="minor"/>
      </rPr>
      <t xml:space="preserve">ADVANCING THE FORENSIC CAPACITIES OF THE POLICE DIRECTORATE OF MONTENEGRO FOR PROCESSING FIREARMS AND EXPLOSIVES-RELATED CRIMES </t>
    </r>
  </si>
  <si>
    <t xml:space="preserve">International expert for curriculum development and delivery of advanced training for 3D laser scanning crime scene documenting </t>
  </si>
  <si>
    <t xml:space="preserve">International expert for curriculum development and delivery of advanced training for aerial photography crime scene documenting </t>
  </si>
  <si>
    <t>International expert for curriculum development and delivery of advanced training for practical aspects of ISO/IEC 17020 in CSI, evidence custody chain, packaging, and tagging, case-management solutions, and application of the SOP</t>
  </si>
  <si>
    <t>International expert for drafting  SOPs for the application of the handheld UV/VIS/IR device, and for digital crime scene documenting utilizing the techniques of 3D laser scanning and aerial photography.</t>
  </si>
  <si>
    <t>International experts for preparing and moderating two multisector panels on improving the forensic SGBV response</t>
  </si>
  <si>
    <t>Venue, accommodation, refreshments, meals, conf. equipment and material (two times: 2 days, 15 participants)</t>
  </si>
  <si>
    <t>Venue, accommodation, refreshments and meals for training (1 day, 10 participants)</t>
  </si>
  <si>
    <t>Venue, accommodation, refreshments, meals, conf. equipment and material (1 day, 25 participants)</t>
  </si>
  <si>
    <t>International expert(s) for assessment 25%</t>
  </si>
  <si>
    <t>Accommodation, venue, refreshments and meals for training (2 days, 5 participants)</t>
  </si>
  <si>
    <t>Storage container 3 pcs.</t>
  </si>
  <si>
    <t>International expert for development and validation of new methods based on equipment purchased under 4.1.2</t>
  </si>
  <si>
    <t>International expert for revising  SOPs and validation of a new method based on equipment purchased under 4.2.2</t>
  </si>
  <si>
    <t>Handheld UV/VIS/IR devices for detection, examination and capture of latent forensic evidence</t>
  </si>
  <si>
    <t>Mobile device for detecting explosives</t>
  </si>
  <si>
    <t>Cameras, 5 pcs.</t>
  </si>
  <si>
    <t>SOPs for operating the OCF, the automated ballistic system EVOFINDER, and the illegal firearms tracing database TRAFFIC</t>
  </si>
  <si>
    <t>International expert(s) for designing technical specifications/procurement technical evaluation 22.2%</t>
  </si>
  <si>
    <t>International expert(s) for designing technical specifications/procurement technical evaluation 11.1%</t>
  </si>
  <si>
    <t>International expert for curriculum development/training delivery (for utilizing the UV/VIS/IR devices for latent evidence detection, examination and capture)</t>
  </si>
  <si>
    <t>Participation in the ENFSI Scene of Crime Working Group - travel, accommodation and food, conference fee (2 representatives)</t>
  </si>
  <si>
    <t>Participation in regional peer-exchange - travel, accommodation and food (2 representatives)</t>
  </si>
  <si>
    <t>International study visit - travel, accommodation and food, interpretation (2 representatives+1 interpreter)</t>
  </si>
  <si>
    <t>Participation in the ENFSI  Firearms/GSR Working Group and EAFS - travel, accommodation and food, conference fee (2+2+1 representative)</t>
  </si>
  <si>
    <t>Participation in regional peer-exchange - travel, accommodation and food (1 representative)</t>
  </si>
  <si>
    <t>International study visit - travel, accommodation and food (2 representatives+1 interpreter)</t>
  </si>
  <si>
    <t>Participation in the ENFSI Fire/Explosions Working Group - travel, accommodation and food, conference fee (1 representative)</t>
  </si>
  <si>
    <t>International study visit - travel, accommodation and food (1 representative+1 interpreter)</t>
  </si>
  <si>
    <t>Participation in the ENFSI Explosives Working Group and in ENFSI annual meetings of directors - travel, accommodation and food, conference fee (1+1 representative)</t>
  </si>
  <si>
    <t>International study visit - travel, accommodation and food (3 representatives+1 interpreter)</t>
  </si>
  <si>
    <t>air tickets</t>
  </si>
  <si>
    <t>International expert for draft/revision of CSI SOPs (7 SOPs)</t>
  </si>
  <si>
    <t>Accommodation, refreshments and meals for training for above-mentioned training (3 days, 20 participants)</t>
  </si>
  <si>
    <t>Venue, accommodation, refreshments and meals for training for above-mentioned training (2 days, 10 participants)</t>
  </si>
  <si>
    <t>Refreshments and meals for training for above-mentioned training (5 days, 6  participants)</t>
  </si>
  <si>
    <t>Refreshments and meals for training for above-mentioned training (5 days, 8  participants)</t>
  </si>
  <si>
    <t>Printing/publications</t>
  </si>
  <si>
    <t>Translation</t>
  </si>
  <si>
    <t>Visibility activities</t>
  </si>
  <si>
    <t>Activity 1.1.1 Development of SOPs, specialized training and knowledge-exchange for on-site forensic investigation</t>
  </si>
  <si>
    <t xml:space="preserve">Activity 1.1.2 Provision of specialized equipment for on-site forensic investigation </t>
  </si>
  <si>
    <t>Output 1.1 Improved staff security and detecting capacities in the on-site forensic investigation of explosives-related criminal cases and implementation of QMS and advanced methods for visualizing specific forensic evidence</t>
  </si>
  <si>
    <t>Output 1.2 Advanced methodologies for CSI processing of SGBV criminal cases as related to firearms</t>
  </si>
  <si>
    <t>Activity 1.2.1 Multi-sector Gender Based Violence (GBV) panels</t>
  </si>
  <si>
    <t>Activity 1.2.2 Training on documenting injuries on victims during medical examinations</t>
  </si>
  <si>
    <t>Activity 1.2.3. Protocol development and training on interviewing techniques for CSI officers</t>
  </si>
  <si>
    <t>Outcome 2. Improved ballistic capacities of the Forensic Centre</t>
  </si>
  <si>
    <t>Output 2.1 Improved security and advanced preparation of the Ballistic Laboratory for ISO/IEC 17025 accreditation</t>
  </si>
  <si>
    <t>Activity 2.1.1 Supporting ISO/IEC 17025 accreditation preparation of the Ballistic Laboratory</t>
  </si>
  <si>
    <t>Activity 2.1.2 Provision of specialized equipment for improving security and operability of the shooting range</t>
  </si>
  <si>
    <t>Activity 2.1.3 Equipping and refurbishing the gunsmith workshop and the shooting range</t>
  </si>
  <si>
    <t>Activity 3.1.1 Method development, validation and additional support to accreditation</t>
  </si>
  <si>
    <t>Activity 3.1.2 Provision of equipment for safe handling and examination of explosives</t>
  </si>
  <si>
    <t>Output 3.1 Advanced security and operability and extended scope of accreditation within the Arson and Explosives Lab</t>
  </si>
  <si>
    <t>Activity 4.1.1 Development of SOPs, validation of methods and additional support to accreditation</t>
  </si>
  <si>
    <t>Activity 4.1.2 Provision of specialized equipment for improved explosives chemical analysis</t>
  </si>
  <si>
    <t>Output 4.1 New methods and procedures for analyzing explosives developed, and the scope of ISO/IEC 17025 accreditation for expert examination of explosive samples/traces extended</t>
  </si>
  <si>
    <t>Output 4.2. Improved Gunshot residue (GSR) analysis capacities</t>
  </si>
  <si>
    <t>Activity 4.2.2 Provision of equipment for improved GSR analysis</t>
  </si>
  <si>
    <t>Activity 4.2.1 Development of SOPs and method validation</t>
  </si>
  <si>
    <t>Total Outcome 1-4</t>
  </si>
  <si>
    <t>One notebook for Project Manager</t>
  </si>
  <si>
    <t>Total Visibility and other services</t>
  </si>
  <si>
    <t>Visibility and other services</t>
  </si>
  <si>
    <t>Software to support previously provided quadcopter with a camera, for processing the digital recorded aerial photography material and composing documentation</t>
  </si>
  <si>
    <t>Project implementation period: November 2023- October 2025</t>
  </si>
  <si>
    <t>GRAND TOTAL</t>
  </si>
  <si>
    <t>1. Staff and other personnel costs</t>
  </si>
  <si>
    <t>2. Supplies, Commodities, Materials</t>
  </si>
  <si>
    <t>3. Equipment, Vehicles and Furniture including Depreciation</t>
  </si>
  <si>
    <t>4. Contractual Services</t>
  </si>
  <si>
    <t>5. Travel</t>
  </si>
  <si>
    <t>6. Transfers and Grants to Counterparts</t>
  </si>
  <si>
    <t>7. General Operating and Other Direct Costs</t>
  </si>
  <si>
    <t>Total Direct Costs</t>
  </si>
  <si>
    <t>Indirect Support Costs (7%)</t>
  </si>
  <si>
    <t>Project balance</t>
  </si>
  <si>
    <t>Implementing organization: UNDP Montenegro</t>
  </si>
  <si>
    <t>Project Title: Advancing the Forensic Capacities of the Police Directorate of Montenegro for Processing Firearms and Explosives-related Crimes</t>
  </si>
  <si>
    <t>Approved Budget</t>
  </si>
  <si>
    <t xml:space="preserve">UNDG Budget Category
</t>
  </si>
  <si>
    <t>Expenses Q1 2024</t>
  </si>
  <si>
    <t>Expenses Q2 2024</t>
  </si>
  <si>
    <t>Expenses Q3 2024</t>
  </si>
  <si>
    <t>Expenses Q4 2024</t>
  </si>
  <si>
    <t>Expenses Q4 2023</t>
  </si>
  <si>
    <t>Expenses Q1 2025</t>
  </si>
  <si>
    <t>Expenses Q2 2025</t>
  </si>
  <si>
    <t>Expenses Q3 2025</t>
  </si>
  <si>
    <t>Expenses until 30 September 2025</t>
  </si>
  <si>
    <t>Implementing Period: November 2023 - December 2026</t>
  </si>
  <si>
    <t>International expert for draft/revision of CSI SOPs and guidebooks (5 items in total)</t>
  </si>
  <si>
    <t>International experts (2 persons) for training needs analysis, curriculum development, and delivery of advanced training (two 5-day sessions) on new CSI techniques based on purchased specialized CSI kits containing means for finding and recovering latent, biological, and micro-traces, and packaging ballistic traces</t>
  </si>
  <si>
    <t xml:space="preserve">Daily allowances, and travel costs (3 travels) for 2 persons </t>
  </si>
  <si>
    <t>Accomodation, refreshments and meals for the above-mentioned training (2x5 days, 8  participants per session)</t>
  </si>
  <si>
    <t xml:space="preserve">International expert for delivery of advanced training (2x5 days, 6  participants per session) for aerial photography crime scene documenting based on the existing curriculum </t>
  </si>
  <si>
    <t xml:space="preserve">Daily allowances, and travel costs (2 travels) for 1 persons </t>
  </si>
  <si>
    <t>Accomodation, refreshments and meals for the above-mentioned training (2x5 days, 12  participants in total, 10 from outside of Podgorica)</t>
  </si>
  <si>
    <t>Total Activity 1.1.3</t>
  </si>
  <si>
    <t xml:space="preserve">Activity 1.1.3: Support to the mobility of the CSI units and upgrade of facilities for CSI units across the jurisdiction </t>
  </si>
  <si>
    <t>International expert(s) for designing technical specifications (except for the mobile forensic lab) and performing procurement technical evaluation</t>
  </si>
  <si>
    <t>Mobile forensic laboratory</t>
  </si>
  <si>
    <t xml:space="preserve">Specialized CSI kits containing means for finding and recovering latent, biological, and micro-traces, and packaging ballistic traces </t>
  </si>
  <si>
    <t>Quadcopter with camera</t>
  </si>
  <si>
    <t>IT equipment (PC and multifunction printer)</t>
  </si>
  <si>
    <t>International expert (incl. expert fees, daily allowances, and travel costs) for analyzing the current conditions and identifying adequate solutions for providing dedicated space for forensic evidence manipulation and storage</t>
  </si>
  <si>
    <t>Construction design and refurbishments of dedicated premises and/or purchase of specialized containers for forensic evidence manipulation and storage in CSI units.</t>
  </si>
  <si>
    <t>Equipment, Vehicles and Furniture including Depreciation</t>
  </si>
  <si>
    <t>Expenses Q4 2025</t>
  </si>
  <si>
    <t>Westerns Balkans SALW Control Roadmap MPTF
Provisional Financial Report: 28 November 2023 - 31 December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</si>
</sst>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0.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4" tint="-0.499984740745262"/>
      <name val="Arial Black"/>
      <family val="2"/>
    </font>
    <font>
      <b/>
      <sz val="12"/>
      <color theme="4" tint="-0.499984740745262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4" tint="-0.499984740745262"/>
      <name val="Calibri"/>
      <family val="2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</font>
    <font>
      <b/>
      <sz val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1">
    <xf numFmtId="0" fontId="0" fillId="0" borderId="0" xfId="0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7" borderId="19" xfId="0" applyFont="1" applyFill="1" applyBorder="1" applyAlignment="1">
      <alignment horizontal="right" wrapText="1"/>
    </xf>
    <xf numFmtId="0" fontId="0" fillId="0" borderId="19" xfId="0" applyBorder="1" applyAlignment="1">
      <alignment wrapText="1"/>
    </xf>
    <xf numFmtId="0" fontId="6" fillId="7" borderId="19" xfId="0" applyFont="1" applyFill="1" applyBorder="1"/>
    <xf numFmtId="0" fontId="5" fillId="0" borderId="0" xfId="0" applyFont="1"/>
    <xf numFmtId="0" fontId="5" fillId="0" borderId="20" xfId="0" applyFont="1" applyBorder="1"/>
    <xf numFmtId="0" fontId="0" fillId="0" borderId="0" xfId="0" applyAlignment="1">
      <alignment vertical="center"/>
    </xf>
    <xf numFmtId="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4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3" fontId="0" fillId="0" borderId="19" xfId="0" applyNumberFormat="1" applyBorder="1"/>
    <xf numFmtId="3" fontId="6" fillId="7" borderId="19" xfId="0" applyNumberFormat="1" applyFont="1" applyFill="1" applyBorder="1"/>
    <xf numFmtId="0" fontId="13" fillId="0" borderId="0" xfId="0" applyFont="1"/>
    <xf numFmtId="0" fontId="17" fillId="0" borderId="0" xfId="0" applyFont="1"/>
    <xf numFmtId="0" fontId="13" fillId="0" borderId="0" xfId="0" applyFont="1" applyAlignment="1">
      <alignment vertical="center"/>
    </xf>
    <xf numFmtId="0" fontId="6" fillId="7" borderId="19" xfId="0" applyFont="1" applyFill="1" applyBorder="1" applyAlignment="1">
      <alignment wrapText="1"/>
    </xf>
    <xf numFmtId="0" fontId="18" fillId="0" borderId="0" xfId="0" applyFont="1"/>
    <xf numFmtId="0" fontId="15" fillId="0" borderId="21" xfId="0" applyFont="1" applyBorder="1" applyAlignment="1">
      <alignment horizontal="center" vertical="center" wrapText="1"/>
    </xf>
    <xf numFmtId="164" fontId="20" fillId="0" borderId="0" xfId="5" applyNumberFormat="1" applyFont="1" applyAlignment="1">
      <alignment vertical="top"/>
    </xf>
    <xf numFmtId="0" fontId="22" fillId="0" borderId="0" xfId="0" applyFont="1" applyAlignment="1">
      <alignment vertical="center"/>
    </xf>
    <xf numFmtId="3" fontId="23" fillId="12" borderId="24" xfId="0" applyNumberFormat="1" applyFont="1" applyFill="1" applyBorder="1" applyAlignment="1">
      <alignment horizontal="right"/>
    </xf>
    <xf numFmtId="3" fontId="20" fillId="12" borderId="24" xfId="0" applyNumberFormat="1" applyFont="1" applyFill="1" applyBorder="1" applyAlignment="1">
      <alignment horizontal="right"/>
    </xf>
    <xf numFmtId="3" fontId="24" fillId="7" borderId="24" xfId="0" applyNumberFormat="1" applyFont="1" applyFill="1" applyBorder="1" applyAlignment="1">
      <alignment horizontal="right"/>
    </xf>
    <xf numFmtId="3" fontId="24" fillId="9" borderId="24" xfId="0" applyNumberFormat="1" applyFont="1" applyFill="1" applyBorder="1" applyAlignment="1">
      <alignment horizontal="right"/>
    </xf>
    <xf numFmtId="3" fontId="20" fillId="7" borderId="24" xfId="0" applyNumberFormat="1" applyFont="1" applyFill="1" applyBorder="1" applyAlignment="1">
      <alignment horizontal="right"/>
    </xf>
    <xf numFmtId="3" fontId="25" fillId="6" borderId="24" xfId="0" applyNumberFormat="1" applyFont="1" applyFill="1" applyBorder="1" applyAlignment="1">
      <alignment horizontal="right"/>
    </xf>
    <xf numFmtId="3" fontId="26" fillId="9" borderId="24" xfId="0" applyNumberFormat="1" applyFont="1" applyFill="1" applyBorder="1" applyAlignment="1">
      <alignment horizontal="right"/>
    </xf>
    <xf numFmtId="3" fontId="19" fillId="6" borderId="24" xfId="0" applyNumberFormat="1" applyFont="1" applyFill="1" applyBorder="1" applyAlignment="1">
      <alignment horizontal="right"/>
    </xf>
    <xf numFmtId="3" fontId="23" fillId="12" borderId="24" xfId="3" applyNumberFormat="1" applyFont="1" applyFill="1" applyBorder="1" applyAlignment="1">
      <alignment horizontal="right"/>
    </xf>
    <xf numFmtId="3" fontId="24" fillId="9" borderId="7" xfId="0" applyNumberFormat="1" applyFont="1" applyFill="1" applyBorder="1" applyAlignment="1">
      <alignment horizontal="right"/>
    </xf>
    <xf numFmtId="0" fontId="24" fillId="7" borderId="7" xfId="0" applyFont="1" applyFill="1" applyBorder="1" applyAlignment="1">
      <alignment vertical="center"/>
    </xf>
    <xf numFmtId="0" fontId="24" fillId="7" borderId="7" xfId="0" applyFont="1" applyFill="1" applyBorder="1" applyAlignment="1">
      <alignment vertical="center" wrapText="1"/>
    </xf>
    <xf numFmtId="0" fontId="24" fillId="7" borderId="7" xfId="0" applyFont="1" applyFill="1" applyBorder="1" applyAlignment="1">
      <alignment horizontal="center"/>
    </xf>
    <xf numFmtId="0" fontId="24" fillId="7" borderId="7" xfId="0" applyFont="1" applyFill="1" applyBorder="1" applyAlignment="1">
      <alignment horizontal="center" wrapText="1"/>
    </xf>
    <xf numFmtId="3" fontId="24" fillId="10" borderId="11" xfId="0" applyNumberFormat="1" applyFont="1" applyFill="1" applyBorder="1" applyAlignment="1">
      <alignment horizontal="center" vertical="center" wrapText="1"/>
    </xf>
    <xf numFmtId="3" fontId="24" fillId="10" borderId="11" xfId="0" applyNumberFormat="1" applyFont="1" applyFill="1" applyBorder="1" applyAlignment="1">
      <alignment horizontal="center" vertical="center"/>
    </xf>
    <xf numFmtId="0" fontId="23" fillId="0" borderId="7" xfId="1" applyFont="1" applyFill="1" applyBorder="1" applyAlignment="1">
      <alignment horizontal="left"/>
    </xf>
    <xf numFmtId="0" fontId="23" fillId="0" borderId="7" xfId="1" applyFont="1" applyFill="1" applyBorder="1" applyAlignment="1">
      <alignment horizontal="center" vertical="center"/>
    </xf>
    <xf numFmtId="3" fontId="23" fillId="0" borderId="7" xfId="1" applyNumberFormat="1" applyFont="1" applyFill="1" applyBorder="1" applyAlignment="1">
      <alignment horizontal="center" vertical="center"/>
    </xf>
    <xf numFmtId="0" fontId="23" fillId="0" borderId="7" xfId="0" applyFont="1" applyBorder="1" applyAlignment="1">
      <alignment horizontal="left" vertical="center" wrapText="1"/>
    </xf>
    <xf numFmtId="3" fontId="23" fillId="0" borderId="7" xfId="0" applyNumberFormat="1" applyFont="1" applyBorder="1" applyAlignment="1">
      <alignment horizontal="center" vertical="center"/>
    </xf>
    <xf numFmtId="3" fontId="23" fillId="0" borderId="10" xfId="0" applyNumberFormat="1" applyFont="1" applyBorder="1" applyAlignment="1">
      <alignment horizontal="center" vertical="center"/>
    </xf>
    <xf numFmtId="3" fontId="23" fillId="0" borderId="5" xfId="0" applyNumberFormat="1" applyFont="1" applyBorder="1" applyAlignment="1">
      <alignment horizontal="center" vertical="center"/>
    </xf>
    <xf numFmtId="0" fontId="20" fillId="0" borderId="7" xfId="1" applyFont="1" applyFill="1" applyBorder="1" applyAlignment="1">
      <alignment horizontal="left" vertical="center" wrapText="1"/>
    </xf>
    <xf numFmtId="0" fontId="20" fillId="0" borderId="7" xfId="1" applyFont="1" applyFill="1" applyBorder="1" applyAlignment="1">
      <alignment horizontal="center" vertical="center" wrapText="1"/>
    </xf>
    <xf numFmtId="3" fontId="20" fillId="0" borderId="7" xfId="1" applyNumberFormat="1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left" vertical="center" wrapText="1"/>
    </xf>
    <xf numFmtId="3" fontId="20" fillId="0" borderId="7" xfId="0" applyNumberFormat="1" applyFont="1" applyBorder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3" fontId="20" fillId="0" borderId="5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3" fontId="20" fillId="0" borderId="7" xfId="0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center" vertical="center" wrapText="1"/>
    </xf>
    <xf numFmtId="3" fontId="20" fillId="0" borderId="11" xfId="0" applyNumberFormat="1" applyFont="1" applyBorder="1" applyAlignment="1">
      <alignment horizontal="center" vertical="center" wrapText="1"/>
    </xf>
    <xf numFmtId="0" fontId="24" fillId="7" borderId="7" xfId="0" applyFont="1" applyFill="1" applyBorder="1" applyAlignment="1">
      <alignment horizontal="right" vertical="top" wrapText="1"/>
    </xf>
    <xf numFmtId="0" fontId="24" fillId="7" borderId="7" xfId="0" applyFont="1" applyFill="1" applyBorder="1" applyAlignment="1">
      <alignment horizontal="left" vertical="top" wrapText="1"/>
    </xf>
    <xf numFmtId="0" fontId="24" fillId="7" borderId="7" xfId="0" applyFont="1" applyFill="1" applyBorder="1" applyAlignment="1">
      <alignment horizontal="left" vertical="center" wrapText="1"/>
    </xf>
    <xf numFmtId="0" fontId="24" fillId="7" borderId="7" xfId="0" applyFont="1" applyFill="1" applyBorder="1" applyAlignment="1">
      <alignment horizontal="right" vertical="center" wrapText="1"/>
    </xf>
    <xf numFmtId="3" fontId="24" fillId="7" borderId="7" xfId="0" applyNumberFormat="1" applyFont="1" applyFill="1" applyBorder="1" applyAlignment="1">
      <alignment horizontal="center" vertical="center"/>
    </xf>
    <xf numFmtId="3" fontId="24" fillId="7" borderId="5" xfId="0" applyNumberFormat="1" applyFont="1" applyFill="1" applyBorder="1" applyAlignment="1">
      <alignment horizontal="center" vertical="center"/>
    </xf>
    <xf numFmtId="0" fontId="23" fillId="0" borderId="7" xfId="1" applyFont="1" applyFill="1" applyBorder="1" applyAlignment="1">
      <alignment vertical="center" wrapText="1"/>
    </xf>
    <xf numFmtId="0" fontId="23" fillId="0" borderId="7" xfId="1" applyFont="1" applyFill="1" applyBorder="1" applyAlignment="1">
      <alignment horizontal="center" vertical="center" wrapText="1"/>
    </xf>
    <xf numFmtId="3" fontId="23" fillId="0" borderId="7" xfId="1" applyNumberFormat="1" applyFont="1" applyFill="1" applyBorder="1" applyAlignment="1">
      <alignment horizontal="center" vertical="center" wrapText="1"/>
    </xf>
    <xf numFmtId="0" fontId="20" fillId="0" borderId="7" xfId="2" applyFont="1" applyFill="1" applyBorder="1" applyAlignment="1">
      <alignment horizontal="left" vertical="center" wrapText="1"/>
    </xf>
    <xf numFmtId="0" fontId="20" fillId="0" borderId="7" xfId="2" applyFont="1" applyFill="1" applyBorder="1" applyAlignment="1">
      <alignment horizontal="center" vertical="center" wrapText="1"/>
    </xf>
    <xf numFmtId="3" fontId="20" fillId="0" borderId="7" xfId="2" applyNumberFormat="1" applyFont="1" applyFill="1" applyBorder="1" applyAlignment="1">
      <alignment horizontal="center" vertical="center" wrapText="1"/>
    </xf>
    <xf numFmtId="4" fontId="24" fillId="9" borderId="7" xfId="0" applyNumberFormat="1" applyFont="1" applyFill="1" applyBorder="1"/>
    <xf numFmtId="4" fontId="24" fillId="9" borderId="7" xfId="0" applyNumberFormat="1" applyFont="1" applyFill="1" applyBorder="1" applyAlignment="1">
      <alignment vertical="center"/>
    </xf>
    <xf numFmtId="3" fontId="24" fillId="9" borderId="7" xfId="0" applyNumberFormat="1" applyFont="1" applyFill="1" applyBorder="1" applyAlignment="1">
      <alignment horizontal="center" vertical="center"/>
    </xf>
    <xf numFmtId="3" fontId="24" fillId="9" borderId="5" xfId="0" applyNumberFormat="1" applyFont="1" applyFill="1" applyBorder="1" applyAlignment="1">
      <alignment horizontal="center" vertical="center"/>
    </xf>
    <xf numFmtId="3" fontId="24" fillId="7" borderId="7" xfId="0" applyNumberFormat="1" applyFont="1" applyFill="1" applyBorder="1" applyAlignment="1">
      <alignment horizontal="center" vertical="center" wrapText="1"/>
    </xf>
    <xf numFmtId="3" fontId="24" fillId="7" borderId="5" xfId="0" applyNumberFormat="1" applyFont="1" applyFill="1" applyBorder="1" applyAlignment="1">
      <alignment horizontal="center" vertical="center" wrapText="1"/>
    </xf>
    <xf numFmtId="0" fontId="24" fillId="9" borderId="7" xfId="0" applyFont="1" applyFill="1" applyBorder="1" applyAlignment="1">
      <alignment horizontal="left"/>
    </xf>
    <xf numFmtId="0" fontId="24" fillId="9" borderId="7" xfId="0" applyFont="1" applyFill="1" applyBorder="1" applyAlignment="1">
      <alignment horizontal="left" vertical="center"/>
    </xf>
    <xf numFmtId="3" fontId="24" fillId="9" borderId="24" xfId="0" applyNumberFormat="1" applyFont="1" applyFill="1" applyBorder="1" applyAlignment="1">
      <alignment horizontal="right" vertical="center"/>
    </xf>
    <xf numFmtId="0" fontId="24" fillId="7" borderId="7" xfId="0" applyFont="1" applyFill="1" applyBorder="1" applyAlignment="1">
      <alignment horizontal="center" vertical="center" textRotation="90" wrapText="1"/>
    </xf>
    <xf numFmtId="4" fontId="19" fillId="6" borderId="7" xfId="0" applyNumberFormat="1" applyFont="1" applyFill="1" applyBorder="1"/>
    <xf numFmtId="0" fontId="19" fillId="6" borderId="7" xfId="0" applyFont="1" applyFill="1" applyBorder="1" applyAlignment="1">
      <alignment horizontal="left"/>
    </xf>
    <xf numFmtId="0" fontId="19" fillId="6" borderId="7" xfId="0" applyFont="1" applyFill="1" applyBorder="1" applyAlignment="1">
      <alignment horizontal="left" vertical="center"/>
    </xf>
    <xf numFmtId="4" fontId="19" fillId="6" borderId="7" xfId="0" applyNumberFormat="1" applyFont="1" applyFill="1" applyBorder="1" applyAlignment="1">
      <alignment vertical="center"/>
    </xf>
    <xf numFmtId="3" fontId="19" fillId="6" borderId="7" xfId="0" applyNumberFormat="1" applyFont="1" applyFill="1" applyBorder="1" applyAlignment="1">
      <alignment horizontal="center" vertical="center"/>
    </xf>
    <xf numFmtId="3" fontId="19" fillId="6" borderId="5" xfId="0" applyNumberFormat="1" applyFont="1" applyFill="1" applyBorder="1" applyAlignment="1">
      <alignment horizontal="center" vertical="center"/>
    </xf>
    <xf numFmtId="3" fontId="25" fillId="6" borderId="24" xfId="0" applyNumberFormat="1" applyFont="1" applyFill="1" applyBorder="1" applyAlignment="1">
      <alignment horizontal="right" vertical="center"/>
    </xf>
    <xf numFmtId="0" fontId="24" fillId="7" borderId="7" xfId="0" applyFont="1" applyFill="1" applyBorder="1" applyAlignment="1">
      <alignment horizontal="center" vertical="center" wrapText="1"/>
    </xf>
    <xf numFmtId="3" fontId="20" fillId="9" borderId="24" xfId="0" applyNumberFormat="1" applyFont="1" applyFill="1" applyBorder="1" applyAlignment="1">
      <alignment horizontal="right"/>
    </xf>
    <xf numFmtId="3" fontId="23" fillId="0" borderId="7" xfId="2" applyNumberFormat="1" applyFont="1" applyFill="1" applyBorder="1" applyAlignment="1">
      <alignment horizontal="center" vertical="center"/>
    </xf>
    <xf numFmtId="3" fontId="20" fillId="0" borderId="7" xfId="2" applyNumberFormat="1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left" vertical="center" wrapText="1"/>
    </xf>
    <xf numFmtId="3" fontId="20" fillId="0" borderId="5" xfId="2" applyNumberFormat="1" applyFont="1" applyFill="1" applyBorder="1" applyAlignment="1">
      <alignment horizontal="center" vertical="center"/>
    </xf>
    <xf numFmtId="3" fontId="24" fillId="7" borderId="7" xfId="0" applyNumberFormat="1" applyFont="1" applyFill="1" applyBorder="1" applyAlignment="1">
      <alignment horizontal="left" vertical="center" wrapText="1"/>
    </xf>
    <xf numFmtId="3" fontId="24" fillId="9" borderId="7" xfId="0" applyNumberFormat="1" applyFont="1" applyFill="1" applyBorder="1" applyAlignment="1">
      <alignment horizontal="left" vertical="center"/>
    </xf>
    <xf numFmtId="3" fontId="19" fillId="6" borderId="7" xfId="0" applyNumberFormat="1" applyFont="1" applyFill="1" applyBorder="1" applyAlignment="1">
      <alignment horizontal="left" vertical="center"/>
    </xf>
    <xf numFmtId="0" fontId="24" fillId="6" borderId="14" xfId="0" applyFont="1" applyFill="1" applyBorder="1" applyAlignment="1">
      <alignment horizontal="center" vertical="center" textRotation="90" wrapText="1"/>
    </xf>
    <xf numFmtId="0" fontId="24" fillId="6" borderId="7" xfId="0" applyFont="1" applyFill="1" applyBorder="1" applyAlignment="1">
      <alignment horizontal="center" vertical="center" textRotation="90" wrapText="1"/>
    </xf>
    <xf numFmtId="3" fontId="19" fillId="6" borderId="24" xfId="0" applyNumberFormat="1" applyFont="1" applyFill="1" applyBorder="1" applyAlignment="1">
      <alignment horizontal="right" vertical="center"/>
    </xf>
    <xf numFmtId="0" fontId="23" fillId="8" borderId="7" xfId="3" applyFont="1" applyFill="1" applyBorder="1" applyAlignment="1">
      <alignment horizontal="left"/>
    </xf>
    <xf numFmtId="0" fontId="23" fillId="8" borderId="7" xfId="3" applyFont="1" applyFill="1" applyBorder="1" applyAlignment="1">
      <alignment horizontal="center" vertical="center"/>
    </xf>
    <xf numFmtId="3" fontId="23" fillId="8" borderId="7" xfId="3" applyNumberFormat="1" applyFont="1" applyFill="1" applyBorder="1" applyAlignment="1">
      <alignment horizontal="center" vertical="center"/>
    </xf>
    <xf numFmtId="3" fontId="23" fillId="8" borderId="5" xfId="3" applyNumberFormat="1" applyFont="1" applyFill="1" applyBorder="1" applyAlignment="1">
      <alignment horizontal="center" vertical="center"/>
    </xf>
    <xf numFmtId="0" fontId="20" fillId="0" borderId="7" xfId="0" applyFont="1" applyBorder="1" applyAlignment="1">
      <alignment horizontal="left" vertical="top"/>
    </xf>
    <xf numFmtId="0" fontId="20" fillId="0" borderId="7" xfId="0" applyFont="1" applyBorder="1" applyAlignment="1">
      <alignment horizontal="center" vertical="center"/>
    </xf>
    <xf numFmtId="0" fontId="20" fillId="0" borderId="7" xfId="0" applyFont="1" applyBorder="1" applyAlignment="1">
      <alignment horizontal="left"/>
    </xf>
    <xf numFmtId="0" fontId="20" fillId="0" borderId="7" xfId="0" applyFont="1" applyBorder="1" applyAlignment="1">
      <alignment vertical="top" wrapText="1"/>
    </xf>
    <xf numFmtId="3" fontId="24" fillId="9" borderId="7" xfId="0" applyNumberFormat="1" applyFont="1" applyFill="1" applyBorder="1" applyAlignment="1">
      <alignment horizontal="right" vertical="center"/>
    </xf>
    <xf numFmtId="0" fontId="24" fillId="0" borderId="6" xfId="0" applyFont="1" applyBorder="1" applyAlignment="1">
      <alignment horizontal="left" vertical="center" wrapText="1"/>
    </xf>
    <xf numFmtId="3" fontId="24" fillId="0" borderId="7" xfId="0" applyNumberFormat="1" applyFont="1" applyBorder="1" applyAlignment="1">
      <alignment horizontal="center" vertical="center"/>
    </xf>
    <xf numFmtId="3" fontId="24" fillId="0" borderId="5" xfId="0" applyNumberFormat="1" applyFont="1" applyBorder="1" applyAlignment="1">
      <alignment horizontal="center" vertical="center"/>
    </xf>
    <xf numFmtId="3" fontId="24" fillId="12" borderId="7" xfId="0" applyNumberFormat="1" applyFont="1" applyFill="1" applyBorder="1" applyAlignment="1">
      <alignment horizontal="right"/>
    </xf>
    <xf numFmtId="0" fontId="20" fillId="0" borderId="6" xfId="0" applyFont="1" applyBorder="1" applyAlignment="1">
      <alignment horizontal="left" vertical="center"/>
    </xf>
    <xf numFmtId="3" fontId="20" fillId="12" borderId="7" xfId="0" applyNumberFormat="1" applyFont="1" applyFill="1" applyBorder="1" applyAlignment="1">
      <alignment horizontal="right"/>
    </xf>
    <xf numFmtId="0" fontId="24" fillId="0" borderId="6" xfId="0" applyFont="1" applyBorder="1" applyAlignment="1">
      <alignment horizontal="left" vertical="center"/>
    </xf>
    <xf numFmtId="3" fontId="24" fillId="6" borderId="7" xfId="0" applyNumberFormat="1" applyFont="1" applyFill="1" applyBorder="1" applyAlignment="1">
      <alignment horizontal="right"/>
    </xf>
    <xf numFmtId="0" fontId="20" fillId="0" borderId="0" xfId="0" applyFont="1"/>
    <xf numFmtId="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3" fontId="23" fillId="12" borderId="24" xfId="4" applyNumberFormat="1" applyFont="1" applyFill="1" applyBorder="1" applyAlignment="1">
      <alignment horizontal="right"/>
    </xf>
    <xf numFmtId="3" fontId="24" fillId="12" borderId="7" xfId="0" applyNumberFormat="1" applyFont="1" applyFill="1" applyBorder="1" applyAlignment="1">
      <alignment horizontal="right" vertical="center"/>
    </xf>
    <xf numFmtId="3" fontId="26" fillId="12" borderId="24" xfId="0" applyNumberFormat="1" applyFont="1" applyFill="1" applyBorder="1" applyAlignment="1">
      <alignment horizontal="right"/>
    </xf>
    <xf numFmtId="3" fontId="20" fillId="12" borderId="7" xfId="0" applyNumberFormat="1" applyFont="1" applyFill="1" applyBorder="1" applyAlignment="1">
      <alignment horizontal="right" vertical="center"/>
    </xf>
    <xf numFmtId="165" fontId="24" fillId="0" borderId="0" xfId="4" applyNumberFormat="1" applyFont="1"/>
    <xf numFmtId="3" fontId="24" fillId="6" borderId="5" xfId="0" applyNumberFormat="1" applyFont="1" applyFill="1" applyBorder="1" applyAlignment="1">
      <alignment horizontal="center" vertical="center"/>
    </xf>
    <xf numFmtId="3" fontId="24" fillId="6" borderId="7" xfId="0" applyNumberFormat="1" applyFont="1" applyFill="1" applyBorder="1" applyAlignment="1">
      <alignment horizontal="right" vertical="center"/>
    </xf>
    <xf numFmtId="0" fontId="24" fillId="7" borderId="9" xfId="0" applyFont="1" applyFill="1" applyBorder="1" applyAlignment="1">
      <alignment vertical="center"/>
    </xf>
    <xf numFmtId="0" fontId="24" fillId="7" borderId="11" xfId="0" applyFont="1" applyFill="1" applyBorder="1"/>
    <xf numFmtId="0" fontId="24" fillId="7" borderId="11" xfId="0" applyFont="1" applyFill="1" applyBorder="1" applyAlignment="1">
      <alignment vertical="center"/>
    </xf>
    <xf numFmtId="3" fontId="24" fillId="7" borderId="11" xfId="0" applyNumberFormat="1" applyFont="1" applyFill="1" applyBorder="1" applyAlignment="1">
      <alignment vertical="center"/>
    </xf>
    <xf numFmtId="0" fontId="24" fillId="7" borderId="7" xfId="0" applyFont="1" applyFill="1" applyBorder="1"/>
    <xf numFmtId="0" fontId="24" fillId="7" borderId="7" xfId="0" applyFont="1" applyFill="1" applyBorder="1" applyAlignment="1">
      <alignment horizontal="center" vertical="center"/>
    </xf>
    <xf numFmtId="0" fontId="24" fillId="7" borderId="9" xfId="0" applyFont="1" applyFill="1" applyBorder="1"/>
    <xf numFmtId="0" fontId="24" fillId="7" borderId="9" xfId="0" applyFont="1" applyFill="1" applyBorder="1" applyAlignment="1">
      <alignment horizontal="center" vertical="center"/>
    </xf>
    <xf numFmtId="3" fontId="24" fillId="7" borderId="9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20" fillId="8" borderId="7" xfId="2" applyFont="1" applyFill="1" applyBorder="1" applyAlignment="1">
      <alignment horizontal="left" vertical="center" wrapText="1"/>
    </xf>
    <xf numFmtId="0" fontId="20" fillId="8" borderId="7" xfId="2" applyFont="1" applyFill="1" applyBorder="1" applyAlignment="1">
      <alignment horizontal="center" vertical="center" wrapText="1"/>
    </xf>
    <xf numFmtId="3" fontId="20" fillId="8" borderId="7" xfId="2" applyNumberFormat="1" applyFont="1" applyFill="1" applyBorder="1" applyAlignment="1">
      <alignment horizontal="center" vertical="center" wrapText="1"/>
    </xf>
    <xf numFmtId="0" fontId="20" fillId="8" borderId="7" xfId="0" applyFont="1" applyFill="1" applyBorder="1" applyAlignment="1">
      <alignment horizontal="left" vertical="center" wrapText="1"/>
    </xf>
    <xf numFmtId="3" fontId="20" fillId="8" borderId="7" xfId="0" applyNumberFormat="1" applyFont="1" applyFill="1" applyBorder="1" applyAlignment="1">
      <alignment horizontal="center" vertical="center"/>
    </xf>
    <xf numFmtId="3" fontId="20" fillId="8" borderId="5" xfId="0" applyNumberFormat="1" applyFont="1" applyFill="1" applyBorder="1" applyAlignment="1">
      <alignment horizontal="center" vertical="center"/>
    </xf>
    <xf numFmtId="0" fontId="20" fillId="0" borderId="8" xfId="0" applyFont="1" applyBorder="1" applyAlignment="1">
      <alignment vertical="center" wrapText="1"/>
    </xf>
    <xf numFmtId="0" fontId="0" fillId="8" borderId="0" xfId="0" applyFill="1"/>
    <xf numFmtId="0" fontId="16" fillId="8" borderId="0" xfId="0" applyFont="1" applyFill="1" applyAlignment="1">
      <alignment vertical="center"/>
    </xf>
    <xf numFmtId="3" fontId="23" fillId="8" borderId="24" xfId="0" applyNumberFormat="1" applyFont="1" applyFill="1" applyBorder="1" applyAlignment="1">
      <alignment horizontal="right"/>
    </xf>
    <xf numFmtId="3" fontId="20" fillId="8" borderId="24" xfId="0" applyNumberFormat="1" applyFont="1" applyFill="1" applyBorder="1" applyAlignment="1">
      <alignment horizontal="right"/>
    </xf>
    <xf numFmtId="3" fontId="23" fillId="8" borderId="24" xfId="3" applyNumberFormat="1" applyFont="1" applyFill="1" applyBorder="1" applyAlignment="1">
      <alignment horizontal="right"/>
    </xf>
    <xf numFmtId="3" fontId="24" fillId="8" borderId="7" xfId="0" applyNumberFormat="1" applyFont="1" applyFill="1" applyBorder="1" applyAlignment="1">
      <alignment horizontal="right"/>
    </xf>
    <xf numFmtId="3" fontId="20" fillId="8" borderId="7" xfId="0" applyNumberFormat="1" applyFont="1" applyFill="1" applyBorder="1" applyAlignment="1">
      <alignment horizontal="right"/>
    </xf>
    <xf numFmtId="165" fontId="24" fillId="8" borderId="0" xfId="4" applyNumberFormat="1" applyFont="1" applyFill="1"/>
    <xf numFmtId="0" fontId="0" fillId="0" borderId="24" xfId="0" applyBorder="1" applyAlignment="1">
      <alignment horizontal="center" vertical="center" wrapText="1"/>
    </xf>
    <xf numFmtId="3" fontId="0" fillId="0" borderId="24" xfId="0" applyNumberFormat="1" applyBorder="1" applyAlignment="1">
      <alignment horizontal="center" vertical="center" wrapText="1"/>
    </xf>
    <xf numFmtId="3" fontId="24" fillId="8" borderId="7" xfId="0" applyNumberFormat="1" applyFont="1" applyFill="1" applyBorder="1" applyAlignment="1">
      <alignment horizontal="center" vertical="center"/>
    </xf>
    <xf numFmtId="3" fontId="24" fillId="8" borderId="24" xfId="0" applyNumberFormat="1" applyFont="1" applyFill="1" applyBorder="1" applyAlignment="1">
      <alignment horizontal="right"/>
    </xf>
    <xf numFmtId="0" fontId="20" fillId="8" borderId="8" xfId="0" applyFont="1" applyFill="1" applyBorder="1" applyAlignment="1">
      <alignment vertical="center" wrapText="1"/>
    </xf>
    <xf numFmtId="0" fontId="0" fillId="8" borderId="24" xfId="0" applyFill="1" applyBorder="1" applyAlignment="1">
      <alignment horizontal="center" vertical="center" wrapText="1"/>
    </xf>
    <xf numFmtId="3" fontId="0" fillId="8" borderId="24" xfId="0" applyNumberFormat="1" applyFill="1" applyBorder="1" applyAlignment="1">
      <alignment horizontal="center" vertical="center" wrapText="1"/>
    </xf>
    <xf numFmtId="0" fontId="20" fillId="8" borderId="24" xfId="2" applyFont="1" applyFill="1" applyBorder="1" applyAlignment="1">
      <alignment horizontal="left" vertical="center" wrapText="1"/>
    </xf>
    <xf numFmtId="0" fontId="20" fillId="0" borderId="24" xfId="2" applyFont="1" applyFill="1" applyBorder="1" applyAlignment="1">
      <alignment horizontal="center" vertical="center" wrapText="1"/>
    </xf>
    <xf numFmtId="3" fontId="20" fillId="0" borderId="24" xfId="2" applyNumberFormat="1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4" fillId="7" borderId="11" xfId="0" applyFont="1" applyFill="1" applyBorder="1" applyAlignment="1">
      <alignment horizontal="center" vertical="center" textRotation="90" wrapText="1"/>
    </xf>
    <xf numFmtId="0" fontId="24" fillId="7" borderId="8" xfId="0" applyFont="1" applyFill="1" applyBorder="1" applyAlignment="1">
      <alignment horizontal="center" vertical="center" textRotation="90" wrapText="1"/>
    </xf>
    <xf numFmtId="0" fontId="24" fillId="7" borderId="9" xfId="0" applyFont="1" applyFill="1" applyBorder="1" applyAlignment="1">
      <alignment horizontal="center" vertical="center" textRotation="90" wrapText="1"/>
    </xf>
    <xf numFmtId="0" fontId="20" fillId="0" borderId="9" xfId="0" applyFont="1" applyBorder="1" applyAlignment="1">
      <alignment horizontal="left" vertical="center" wrapText="1"/>
    </xf>
    <xf numFmtId="0" fontId="24" fillId="7" borderId="23" xfId="0" applyFont="1" applyFill="1" applyBorder="1" applyAlignment="1">
      <alignment horizontal="center" vertical="center" textRotation="90" wrapText="1"/>
    </xf>
    <xf numFmtId="0" fontId="24" fillId="7" borderId="5" xfId="0" applyFont="1" applyFill="1" applyBorder="1" applyAlignment="1">
      <alignment vertical="center"/>
    </xf>
    <xf numFmtId="0" fontId="24" fillId="7" borderId="6" xfId="0" applyFont="1" applyFill="1" applyBorder="1" applyAlignment="1">
      <alignment vertical="center"/>
    </xf>
    <xf numFmtId="0" fontId="20" fillId="8" borderId="11" xfId="0" applyFont="1" applyFill="1" applyBorder="1" applyAlignment="1">
      <alignment vertical="center"/>
    </xf>
    <xf numFmtId="0" fontId="20" fillId="8" borderId="8" xfId="0" applyFont="1" applyFill="1" applyBorder="1" applyAlignment="1">
      <alignment vertical="center"/>
    </xf>
    <xf numFmtId="0" fontId="20" fillId="8" borderId="9" xfId="0" applyFont="1" applyFill="1" applyBorder="1" applyAlignment="1">
      <alignment vertical="center"/>
    </xf>
    <xf numFmtId="0" fontId="24" fillId="0" borderId="5" xfId="0" applyFont="1" applyBorder="1" applyAlignment="1">
      <alignment horizontal="left"/>
    </xf>
    <xf numFmtId="0" fontId="24" fillId="0" borderId="18" xfId="0" applyFont="1" applyBorder="1" applyAlignment="1">
      <alignment horizontal="left"/>
    </xf>
    <xf numFmtId="0" fontId="24" fillId="0" borderId="6" xfId="0" applyFont="1" applyBorder="1" applyAlignment="1">
      <alignment horizontal="left"/>
    </xf>
    <xf numFmtId="0" fontId="24" fillId="7" borderId="12" xfId="0" applyFont="1" applyFill="1" applyBorder="1" applyAlignment="1">
      <alignment horizontal="center" vertical="center" textRotation="90" wrapText="1"/>
    </xf>
    <xf numFmtId="0" fontId="24" fillId="7" borderId="13" xfId="0" applyFont="1" applyFill="1" applyBorder="1" applyAlignment="1">
      <alignment horizontal="center" vertical="center" textRotation="90" wrapText="1"/>
    </xf>
    <xf numFmtId="0" fontId="24" fillId="7" borderId="14" xfId="0" applyFont="1" applyFill="1" applyBorder="1" applyAlignment="1">
      <alignment horizontal="center" vertical="center" textRotation="90" wrapText="1"/>
    </xf>
    <xf numFmtId="0" fontId="24" fillId="7" borderId="15" xfId="0" applyFont="1" applyFill="1" applyBorder="1" applyAlignment="1">
      <alignment horizontal="center" vertical="center" textRotation="90" wrapText="1"/>
    </xf>
    <xf numFmtId="0" fontId="24" fillId="7" borderId="16" xfId="0" applyFont="1" applyFill="1" applyBorder="1" applyAlignment="1">
      <alignment horizontal="center" vertical="center" textRotation="90" wrapText="1"/>
    </xf>
    <xf numFmtId="0" fontId="24" fillId="7" borderId="17" xfId="0" applyFont="1" applyFill="1" applyBorder="1" applyAlignment="1">
      <alignment horizontal="center" vertical="center" textRotation="90" wrapText="1"/>
    </xf>
    <xf numFmtId="0" fontId="23" fillId="0" borderId="11" xfId="0" applyFont="1" applyBorder="1" applyAlignment="1">
      <alignment vertical="center"/>
    </xf>
    <xf numFmtId="0" fontId="23" fillId="0" borderId="8" xfId="0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4" fillId="0" borderId="5" xfId="0" applyFont="1" applyBorder="1" applyAlignment="1">
      <alignment horizontal="left" vertical="center" wrapText="1"/>
    </xf>
    <xf numFmtId="0" fontId="24" fillId="0" borderId="18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/>
    </xf>
    <xf numFmtId="0" fontId="20" fillId="0" borderId="18" xfId="0" applyFont="1" applyBorder="1" applyAlignment="1">
      <alignment horizontal="left"/>
    </xf>
    <xf numFmtId="0" fontId="20" fillId="0" borderId="6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left"/>
    </xf>
    <xf numFmtId="0" fontId="5" fillId="5" borderId="3" xfId="0" applyFont="1" applyFill="1" applyBorder="1" applyAlignment="1">
      <alignment horizontal="left"/>
    </xf>
    <xf numFmtId="0" fontId="5" fillId="6" borderId="1" xfId="0" applyFont="1" applyFill="1" applyBorder="1" applyAlignment="1">
      <alignment horizontal="left"/>
    </xf>
    <xf numFmtId="0" fontId="5" fillId="6" borderId="2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left"/>
    </xf>
    <xf numFmtId="0" fontId="24" fillId="7" borderId="22" xfId="0" applyFont="1" applyFill="1" applyBorder="1" applyAlignment="1">
      <alignment horizontal="center" vertical="center" textRotation="90" wrapText="1"/>
    </xf>
    <xf numFmtId="0" fontId="20" fillId="0" borderId="11" xfId="0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0" fontId="20" fillId="8" borderId="11" xfId="0" applyFont="1" applyFill="1" applyBorder="1" applyAlignment="1">
      <alignment horizontal="center" vertical="top" wrapText="1"/>
    </xf>
    <xf numFmtId="0" fontId="20" fillId="8" borderId="8" xfId="0" applyFont="1" applyFill="1" applyBorder="1" applyAlignment="1">
      <alignment horizontal="center" vertical="top" wrapText="1"/>
    </xf>
    <xf numFmtId="0" fontId="20" fillId="8" borderId="9" xfId="0" applyFont="1" applyFill="1" applyBorder="1" applyAlignment="1">
      <alignment horizontal="center" vertical="top" wrapText="1"/>
    </xf>
    <xf numFmtId="0" fontId="15" fillId="0" borderId="2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64" fontId="19" fillId="5" borderId="21" xfId="5" applyNumberFormat="1" applyFont="1" applyFill="1" applyBorder="1" applyAlignment="1">
      <alignment horizontal="center" vertical="top"/>
    </xf>
    <xf numFmtId="164" fontId="19" fillId="5" borderId="0" xfId="5" applyNumberFormat="1" applyFont="1" applyFill="1" applyBorder="1" applyAlignment="1">
      <alignment horizontal="center" vertical="top"/>
    </xf>
    <xf numFmtId="0" fontId="9" fillId="0" borderId="4" xfId="0" applyFont="1" applyBorder="1" applyAlignment="1">
      <alignment horizontal="left"/>
    </xf>
    <xf numFmtId="0" fontId="24" fillId="7" borderId="5" xfId="0" applyFont="1" applyFill="1" applyBorder="1" applyAlignment="1">
      <alignment horizontal="center" vertical="center"/>
    </xf>
    <xf numFmtId="0" fontId="24" fillId="7" borderId="6" xfId="0" applyFont="1" applyFill="1" applyBorder="1" applyAlignment="1">
      <alignment horizontal="center" vertical="center"/>
    </xf>
    <xf numFmtId="164" fontId="19" fillId="6" borderId="21" xfId="5" applyNumberFormat="1" applyFont="1" applyFill="1" applyBorder="1" applyAlignment="1">
      <alignment horizontal="center" vertical="top"/>
    </xf>
    <xf numFmtId="164" fontId="19" fillId="6" borderId="0" xfId="5" applyNumberFormat="1" applyFont="1" applyFill="1" applyBorder="1" applyAlignment="1">
      <alignment horizontal="center" vertical="top"/>
    </xf>
    <xf numFmtId="0" fontId="21" fillId="11" borderId="21" xfId="0" applyFont="1" applyFill="1" applyBorder="1" applyAlignment="1">
      <alignment horizontal="center" vertical="center" wrapText="1"/>
    </xf>
    <xf numFmtId="0" fontId="21" fillId="11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0" fillId="8" borderId="24" xfId="0" applyFont="1" applyFill="1" applyBorder="1" applyAlignment="1">
      <alignment horizontal="left" vertical="center" wrapText="1"/>
    </xf>
  </cellXfs>
  <cellStyles count="6">
    <cellStyle name="Bad" xfId="2" builtinId="27"/>
    <cellStyle name="Comma" xfId="5" builtinId="3"/>
    <cellStyle name="Good" xfId="1" builtinId="26"/>
    <cellStyle name="Neutral" xfId="3" builtinId="28"/>
    <cellStyle name="Normal" xfId="0" builtinId="0"/>
    <cellStyle name="Per 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46"/>
  <sheetViews>
    <sheetView tabSelected="1" topLeftCell="A7" zoomScale="85" zoomScaleNormal="85" workbookViewId="0">
      <pane ySplit="6" topLeftCell="A30" activePane="bottomLeft" state="frozen"/>
      <selection activeCell="A7" sqref="A7"/>
      <selection pane="bottomLeft" activeCell="D48" sqref="D48"/>
    </sheetView>
  </sheetViews>
  <sheetFormatPr defaultRowHeight="15" x14ac:dyDescent="0.25"/>
  <cols>
    <col min="2" max="2" width="9" customWidth="1"/>
    <col min="3" max="3" width="21.42578125" customWidth="1"/>
    <col min="4" max="4" width="74.140625" bestFit="1" customWidth="1"/>
    <col min="5" max="5" width="8.85546875" hidden="1" customWidth="1"/>
    <col min="6" max="6" width="10.140625" hidden="1" customWidth="1"/>
    <col min="7" max="7" width="10.42578125" hidden="1" customWidth="1"/>
    <col min="8" max="8" width="33.140625" bestFit="1" customWidth="1"/>
    <col min="9" max="9" width="9.5703125" style="18" hidden="1" customWidth="1"/>
    <col min="10" max="11" width="9.5703125" style="17" hidden="1" customWidth="1"/>
    <col min="12" max="12" width="15.28515625" style="17" customWidth="1"/>
    <col min="13" max="14" width="13.85546875" customWidth="1"/>
    <col min="15" max="17" width="13.28515625" customWidth="1"/>
    <col min="18" max="21" width="13.28515625" style="152" customWidth="1"/>
    <col min="22" max="22" width="14.140625" bestFit="1" customWidth="1"/>
    <col min="23" max="23" width="16.5703125" customWidth="1"/>
  </cols>
  <sheetData>
    <row r="1" spans="1:23" ht="31.5" customHeight="1" x14ac:dyDescent="0.25">
      <c r="A1" s="200" t="s">
        <v>0</v>
      </c>
      <c r="B1" s="201"/>
      <c r="C1" s="202"/>
      <c r="D1" s="202"/>
      <c r="E1" s="202"/>
      <c r="F1" s="202"/>
      <c r="G1" s="202"/>
      <c r="H1" s="202"/>
      <c r="I1" s="202"/>
      <c r="J1" s="202"/>
      <c r="K1" s="202"/>
      <c r="L1" s="203"/>
    </row>
    <row r="2" spans="1:23" ht="27.6" customHeight="1" x14ac:dyDescent="0.25">
      <c r="A2" s="204" t="s">
        <v>1</v>
      </c>
      <c r="B2" s="201"/>
      <c r="C2" s="202"/>
      <c r="D2" s="202"/>
      <c r="E2" s="202"/>
      <c r="F2" s="202"/>
      <c r="G2" s="202"/>
      <c r="H2" s="202"/>
      <c r="I2" s="202"/>
      <c r="J2" s="202"/>
      <c r="K2" s="202"/>
      <c r="L2" s="203"/>
    </row>
    <row r="3" spans="1:23" ht="27.75" customHeight="1" x14ac:dyDescent="0.25">
      <c r="A3" s="205" t="s">
        <v>2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7"/>
    </row>
    <row r="4" spans="1:23" ht="24" customHeight="1" x14ac:dyDescent="0.25">
      <c r="A4" s="208" t="s">
        <v>3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10"/>
    </row>
    <row r="5" spans="1:23" ht="24" customHeight="1" x14ac:dyDescent="0.25">
      <c r="A5" s="221" t="s">
        <v>4</v>
      </c>
      <c r="B5" s="221"/>
      <c r="C5" s="221"/>
      <c r="D5" s="1"/>
      <c r="E5" s="1"/>
      <c r="F5" s="1"/>
      <c r="G5" s="1"/>
      <c r="H5" s="2"/>
      <c r="I5" s="14"/>
      <c r="J5" s="15"/>
      <c r="K5" s="15"/>
      <c r="L5" s="15"/>
    </row>
    <row r="6" spans="1:23" ht="15" customHeight="1" x14ac:dyDescent="0.25">
      <c r="A6" s="3"/>
      <c r="B6" s="3"/>
      <c r="C6" s="4"/>
      <c r="D6" s="5"/>
      <c r="E6" s="5"/>
      <c r="F6" s="5"/>
      <c r="G6" s="5"/>
      <c r="H6" s="4"/>
      <c r="I6" s="16"/>
      <c r="J6" s="6"/>
      <c r="K6" s="6"/>
      <c r="L6" s="6"/>
    </row>
    <row r="7" spans="1:23" s="19" customFormat="1" ht="57" customHeight="1" x14ac:dyDescent="0.25">
      <c r="A7" s="217" t="s">
        <v>207</v>
      </c>
      <c r="B7" s="218"/>
      <c r="C7" s="218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8"/>
    </row>
    <row r="8" spans="1:23" s="29" customFormat="1" ht="14.45" customHeight="1" x14ac:dyDescent="0.25">
      <c r="A8" s="219" t="s">
        <v>175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</row>
    <row r="9" spans="1:23" s="29" customFormat="1" ht="15" customHeight="1" x14ac:dyDescent="0.25">
      <c r="A9" s="224" t="s">
        <v>176</v>
      </c>
      <c r="B9" s="225"/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225"/>
      <c r="T9" s="225"/>
      <c r="U9" s="225"/>
      <c r="V9" s="225"/>
      <c r="W9" s="225"/>
    </row>
    <row r="10" spans="1:23" s="30" customFormat="1" ht="15" customHeight="1" x14ac:dyDescent="0.25">
      <c r="A10" s="226" t="s">
        <v>188</v>
      </c>
      <c r="B10" s="227"/>
      <c r="C10" s="227"/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</row>
    <row r="11" spans="1:23" s="19" customFormat="1" ht="15.75" x14ac:dyDescent="0.25">
      <c r="A11" s="28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R11" s="153"/>
      <c r="S11" s="153"/>
      <c r="T11" s="153"/>
      <c r="U11" s="153"/>
    </row>
    <row r="12" spans="1:23" ht="48.75" customHeight="1" x14ac:dyDescent="0.25">
      <c r="A12" s="222"/>
      <c r="B12" s="223"/>
      <c r="C12" s="41" t="s">
        <v>5</v>
      </c>
      <c r="D12" s="42" t="s">
        <v>75</v>
      </c>
      <c r="E12" s="42" t="s">
        <v>76</v>
      </c>
      <c r="F12" s="42" t="s">
        <v>77</v>
      </c>
      <c r="G12" s="42" t="s">
        <v>78</v>
      </c>
      <c r="H12" s="42" t="s">
        <v>178</v>
      </c>
      <c r="I12" s="43">
        <v>2023</v>
      </c>
      <c r="J12" s="43">
        <v>2024</v>
      </c>
      <c r="K12" s="43">
        <v>2025</v>
      </c>
      <c r="L12" s="44" t="s">
        <v>177</v>
      </c>
      <c r="M12" s="45" t="s">
        <v>183</v>
      </c>
      <c r="N12" s="45" t="s">
        <v>179</v>
      </c>
      <c r="O12" s="45" t="s">
        <v>180</v>
      </c>
      <c r="P12" s="45" t="s">
        <v>181</v>
      </c>
      <c r="Q12" s="45" t="s">
        <v>182</v>
      </c>
      <c r="R12" s="45" t="s">
        <v>184</v>
      </c>
      <c r="S12" s="45" t="s">
        <v>185</v>
      </c>
      <c r="T12" s="45" t="s">
        <v>186</v>
      </c>
      <c r="U12" s="45" t="s">
        <v>206</v>
      </c>
      <c r="V12" s="45" t="s">
        <v>187</v>
      </c>
      <c r="W12" s="46" t="s">
        <v>174</v>
      </c>
    </row>
    <row r="13" spans="1:23" s="23" customFormat="1" ht="24" customHeight="1" x14ac:dyDescent="0.25">
      <c r="A13" s="172" t="s">
        <v>91</v>
      </c>
      <c r="B13" s="172" t="s">
        <v>139</v>
      </c>
      <c r="C13" s="212" t="s">
        <v>137</v>
      </c>
      <c r="D13" s="47" t="s">
        <v>106</v>
      </c>
      <c r="E13" s="48" t="s">
        <v>81</v>
      </c>
      <c r="F13" s="48">
        <v>5</v>
      </c>
      <c r="G13" s="49">
        <v>450</v>
      </c>
      <c r="H13" s="50" t="s">
        <v>63</v>
      </c>
      <c r="I13" s="51">
        <f>(F13*G13)</f>
        <v>2250</v>
      </c>
      <c r="J13" s="52">
        <v>0</v>
      </c>
      <c r="K13" s="51">
        <v>0</v>
      </c>
      <c r="L13" s="53">
        <v>2209</v>
      </c>
      <c r="M13" s="31">
        <v>0</v>
      </c>
      <c r="N13" s="31">
        <v>0</v>
      </c>
      <c r="O13" s="31">
        <v>493.56</v>
      </c>
      <c r="P13" s="31">
        <v>0</v>
      </c>
      <c r="Q13" s="31">
        <v>875.27</v>
      </c>
      <c r="R13" s="154">
        <v>0</v>
      </c>
      <c r="S13" s="154">
        <v>840.91</v>
      </c>
      <c r="T13" s="154"/>
      <c r="U13" s="154"/>
      <c r="V13" s="31">
        <f>SUM(M13:U13)</f>
        <v>2209.7399999999998</v>
      </c>
      <c r="W13" s="31">
        <f>L13-V13</f>
        <v>-0.73999999999978172</v>
      </c>
    </row>
    <row r="14" spans="1:23" ht="38.25" customHeight="1" x14ac:dyDescent="0.25">
      <c r="A14" s="173"/>
      <c r="B14" s="173"/>
      <c r="C14" s="213"/>
      <c r="D14" s="54" t="s">
        <v>117</v>
      </c>
      <c r="E14" s="55" t="s">
        <v>81</v>
      </c>
      <c r="F14" s="55">
        <v>5</v>
      </c>
      <c r="G14" s="56">
        <v>700</v>
      </c>
      <c r="H14" s="57" t="s">
        <v>63</v>
      </c>
      <c r="I14" s="58">
        <v>0</v>
      </c>
      <c r="J14" s="59">
        <v>0</v>
      </c>
      <c r="K14" s="58">
        <f>F14*G14</f>
        <v>3500</v>
      </c>
      <c r="L14" s="60">
        <v>3039</v>
      </c>
      <c r="M14" s="32">
        <v>0</v>
      </c>
      <c r="N14" s="32">
        <v>0</v>
      </c>
      <c r="O14" s="32">
        <v>0</v>
      </c>
      <c r="P14" s="31">
        <v>0</v>
      </c>
      <c r="Q14" s="31">
        <v>0</v>
      </c>
      <c r="R14" s="154">
        <v>0</v>
      </c>
      <c r="S14" s="154">
        <v>3038.99</v>
      </c>
      <c r="T14" s="154"/>
      <c r="U14" s="154"/>
      <c r="V14" s="31">
        <f t="shared" ref="V14:V35" si="0">SUM(M14:U14)</f>
        <v>3038.99</v>
      </c>
      <c r="W14" s="31">
        <f t="shared" ref="W14:W28" si="1">L14-V14</f>
        <v>1.0000000000218279E-2</v>
      </c>
    </row>
    <row r="15" spans="1:23" ht="30.6" customHeight="1" x14ac:dyDescent="0.25">
      <c r="A15" s="173"/>
      <c r="B15" s="173"/>
      <c r="C15" s="213"/>
      <c r="D15" s="57" t="s">
        <v>131</v>
      </c>
      <c r="E15" s="61" t="s">
        <v>81</v>
      </c>
      <c r="F15" s="61">
        <v>2</v>
      </c>
      <c r="G15" s="62">
        <v>1500</v>
      </c>
      <c r="H15" s="57" t="s">
        <v>63</v>
      </c>
      <c r="I15" s="58">
        <v>0</v>
      </c>
      <c r="J15" s="58">
        <f t="shared" ref="J15:J20" si="2">F15*G15</f>
        <v>3000</v>
      </c>
      <c r="K15" s="58">
        <v>0</v>
      </c>
      <c r="L15" s="60">
        <v>0</v>
      </c>
      <c r="M15" s="32">
        <v>0</v>
      </c>
      <c r="N15" s="32">
        <v>0</v>
      </c>
      <c r="O15" s="32">
        <v>0</v>
      </c>
      <c r="P15" s="31">
        <v>0</v>
      </c>
      <c r="Q15" s="31">
        <v>0</v>
      </c>
      <c r="R15" s="154">
        <v>0</v>
      </c>
      <c r="S15" s="154"/>
      <c r="T15" s="154"/>
      <c r="U15" s="154"/>
      <c r="V15" s="31">
        <f t="shared" si="0"/>
        <v>0</v>
      </c>
      <c r="W15" s="31">
        <f t="shared" si="1"/>
        <v>0</v>
      </c>
    </row>
    <row r="16" spans="1:23" ht="38.25" customHeight="1" x14ac:dyDescent="0.25">
      <c r="A16" s="173"/>
      <c r="B16" s="173"/>
      <c r="C16" s="213"/>
      <c r="D16" s="57" t="s">
        <v>98</v>
      </c>
      <c r="E16" s="61" t="s">
        <v>81</v>
      </c>
      <c r="F16" s="61">
        <v>8</v>
      </c>
      <c r="G16" s="62">
        <v>700</v>
      </c>
      <c r="H16" s="57" t="s">
        <v>63</v>
      </c>
      <c r="I16" s="58">
        <v>0</v>
      </c>
      <c r="J16" s="58">
        <f t="shared" si="2"/>
        <v>5600</v>
      </c>
      <c r="K16" s="58">
        <v>0</v>
      </c>
      <c r="L16" s="60">
        <v>5000</v>
      </c>
      <c r="M16" s="32">
        <v>0</v>
      </c>
      <c r="N16" s="32">
        <v>0</v>
      </c>
      <c r="O16" s="32">
        <v>0</v>
      </c>
      <c r="P16" s="31">
        <v>0</v>
      </c>
      <c r="Q16" s="31">
        <v>0</v>
      </c>
      <c r="R16" s="154">
        <v>0</v>
      </c>
      <c r="S16" s="154">
        <v>5000</v>
      </c>
      <c r="T16" s="154"/>
      <c r="U16" s="154"/>
      <c r="V16" s="31">
        <f t="shared" si="0"/>
        <v>5000</v>
      </c>
      <c r="W16" s="31">
        <f t="shared" si="1"/>
        <v>0</v>
      </c>
    </row>
    <row r="17" spans="1:23" ht="25.5" x14ac:dyDescent="0.25">
      <c r="A17" s="173"/>
      <c r="B17" s="173"/>
      <c r="C17" s="213"/>
      <c r="D17" s="57" t="s">
        <v>132</v>
      </c>
      <c r="E17" s="61" t="s">
        <v>81</v>
      </c>
      <c r="F17" s="61">
        <v>5</v>
      </c>
      <c r="G17" s="62">
        <v>300</v>
      </c>
      <c r="H17" s="57" t="s">
        <v>63</v>
      </c>
      <c r="I17" s="58">
        <v>0</v>
      </c>
      <c r="J17" s="58">
        <f t="shared" si="2"/>
        <v>1500</v>
      </c>
      <c r="K17" s="58">
        <v>0</v>
      </c>
      <c r="L17" s="60">
        <v>670</v>
      </c>
      <c r="M17" s="32">
        <v>0</v>
      </c>
      <c r="N17" s="32">
        <v>0</v>
      </c>
      <c r="O17" s="32">
        <v>0</v>
      </c>
      <c r="P17" s="31">
        <v>0</v>
      </c>
      <c r="Q17" s="31">
        <v>0</v>
      </c>
      <c r="R17" s="154">
        <v>0</v>
      </c>
      <c r="S17" s="154">
        <v>669.75</v>
      </c>
      <c r="T17" s="154"/>
      <c r="U17" s="154"/>
      <c r="V17" s="31">
        <f t="shared" si="0"/>
        <v>669.75</v>
      </c>
      <c r="W17" s="31">
        <f t="shared" si="1"/>
        <v>0.25</v>
      </c>
    </row>
    <row r="18" spans="1:23" ht="38.25" customHeight="1" x14ac:dyDescent="0.25">
      <c r="A18" s="173"/>
      <c r="B18" s="173"/>
      <c r="C18" s="213"/>
      <c r="D18" s="57" t="s">
        <v>99</v>
      </c>
      <c r="E18" s="61" t="s">
        <v>81</v>
      </c>
      <c r="F18" s="61">
        <v>8</v>
      </c>
      <c r="G18" s="62">
        <v>700</v>
      </c>
      <c r="H18" s="57" t="s">
        <v>63</v>
      </c>
      <c r="I18" s="58">
        <v>0</v>
      </c>
      <c r="J18" s="58">
        <f t="shared" si="2"/>
        <v>5600</v>
      </c>
      <c r="K18" s="58">
        <v>0</v>
      </c>
      <c r="L18" s="60">
        <v>4971</v>
      </c>
      <c r="M18" s="32">
        <v>0</v>
      </c>
      <c r="N18" s="32">
        <v>0</v>
      </c>
      <c r="O18" s="32">
        <v>0</v>
      </c>
      <c r="P18" s="31">
        <v>0</v>
      </c>
      <c r="Q18" s="31">
        <v>0</v>
      </c>
      <c r="R18" s="154">
        <v>0</v>
      </c>
      <c r="S18" s="154">
        <v>4971.49</v>
      </c>
      <c r="T18" s="154"/>
      <c r="U18" s="154"/>
      <c r="V18" s="31">
        <f t="shared" si="0"/>
        <v>4971.49</v>
      </c>
      <c r="W18" s="31">
        <f t="shared" si="1"/>
        <v>-0.48999999999978172</v>
      </c>
    </row>
    <row r="19" spans="1:23" ht="25.5" x14ac:dyDescent="0.25">
      <c r="A19" s="173"/>
      <c r="B19" s="173"/>
      <c r="C19" s="213"/>
      <c r="D19" s="57" t="s">
        <v>133</v>
      </c>
      <c r="E19" s="61" t="s">
        <v>81</v>
      </c>
      <c r="F19" s="61">
        <v>5</v>
      </c>
      <c r="G19" s="62">
        <v>400</v>
      </c>
      <c r="H19" s="57" t="s">
        <v>63</v>
      </c>
      <c r="I19" s="58">
        <v>0</v>
      </c>
      <c r="J19" s="58">
        <f t="shared" si="2"/>
        <v>2000</v>
      </c>
      <c r="K19" s="58">
        <v>0</v>
      </c>
      <c r="L19" s="60">
        <v>570</v>
      </c>
      <c r="M19" s="32">
        <v>0</v>
      </c>
      <c r="N19" s="32">
        <v>0</v>
      </c>
      <c r="O19" s="32">
        <v>0</v>
      </c>
      <c r="P19" s="31">
        <v>0</v>
      </c>
      <c r="Q19" s="31">
        <v>0</v>
      </c>
      <c r="R19" s="154">
        <v>0</v>
      </c>
      <c r="S19" s="154">
        <v>0</v>
      </c>
      <c r="T19" s="154">
        <v>579.91</v>
      </c>
      <c r="U19" s="154"/>
      <c r="V19" s="31">
        <f t="shared" si="0"/>
        <v>579.91</v>
      </c>
      <c r="W19" s="31">
        <f t="shared" si="1"/>
        <v>-9.9099999999999682</v>
      </c>
    </row>
    <row r="20" spans="1:23" ht="55.5" customHeight="1" x14ac:dyDescent="0.25">
      <c r="A20" s="173"/>
      <c r="B20" s="173"/>
      <c r="C20" s="213"/>
      <c r="D20" s="57" t="s">
        <v>100</v>
      </c>
      <c r="E20" s="61" t="s">
        <v>81</v>
      </c>
      <c r="F20" s="61">
        <v>6</v>
      </c>
      <c r="G20" s="62">
        <v>700</v>
      </c>
      <c r="H20" s="57" t="s">
        <v>63</v>
      </c>
      <c r="I20" s="58">
        <v>0</v>
      </c>
      <c r="J20" s="58">
        <f t="shared" si="2"/>
        <v>4200</v>
      </c>
      <c r="K20" s="58">
        <v>0</v>
      </c>
      <c r="L20" s="60">
        <f t="shared" ref="L20:L27" si="3">SUM(I20,J20,K20)</f>
        <v>4200</v>
      </c>
      <c r="M20" s="32">
        <v>0</v>
      </c>
      <c r="N20" s="32">
        <v>0</v>
      </c>
      <c r="O20" s="32">
        <v>0</v>
      </c>
      <c r="P20" s="31">
        <v>0</v>
      </c>
      <c r="Q20" s="31">
        <v>0</v>
      </c>
      <c r="R20" s="154">
        <v>0</v>
      </c>
      <c r="S20" s="154">
        <v>0</v>
      </c>
      <c r="T20" s="154"/>
      <c r="U20" s="154">
        <v>2934.27</v>
      </c>
      <c r="V20" s="31">
        <f t="shared" si="0"/>
        <v>2934.27</v>
      </c>
      <c r="W20" s="31">
        <f t="shared" si="1"/>
        <v>1265.73</v>
      </c>
    </row>
    <row r="21" spans="1:23" ht="30.6" customHeight="1" x14ac:dyDescent="0.25">
      <c r="A21" s="173"/>
      <c r="B21" s="173"/>
      <c r="C21" s="213"/>
      <c r="D21" s="57" t="s">
        <v>130</v>
      </c>
      <c r="E21" s="61" t="s">
        <v>81</v>
      </c>
      <c r="F21" s="61">
        <v>3</v>
      </c>
      <c r="G21" s="62">
        <v>3000</v>
      </c>
      <c r="H21" s="57" t="s">
        <v>63</v>
      </c>
      <c r="I21" s="58">
        <v>0</v>
      </c>
      <c r="J21" s="58">
        <f t="shared" ref="J21:J23" si="4">F21*G21</f>
        <v>9000</v>
      </c>
      <c r="K21" s="58">
        <v>0</v>
      </c>
      <c r="L21" s="60">
        <f t="shared" si="3"/>
        <v>9000</v>
      </c>
      <c r="M21" s="32">
        <v>0</v>
      </c>
      <c r="N21" s="32">
        <v>0</v>
      </c>
      <c r="O21" s="32">
        <v>0</v>
      </c>
      <c r="P21" s="31">
        <v>0</v>
      </c>
      <c r="Q21" s="31">
        <v>0</v>
      </c>
      <c r="R21" s="154">
        <v>0</v>
      </c>
      <c r="S21" s="154">
        <v>0</v>
      </c>
      <c r="T21" s="154">
        <v>859.65</v>
      </c>
      <c r="U21" s="154"/>
      <c r="V21" s="31">
        <f t="shared" si="0"/>
        <v>859.65</v>
      </c>
      <c r="W21" s="31">
        <f t="shared" si="1"/>
        <v>8140.35</v>
      </c>
    </row>
    <row r="22" spans="1:23" ht="25.5" customHeight="1" x14ac:dyDescent="0.25">
      <c r="A22" s="173"/>
      <c r="B22" s="173"/>
      <c r="C22" s="213"/>
      <c r="D22" s="50" t="s">
        <v>84</v>
      </c>
      <c r="E22" s="61" t="s">
        <v>81</v>
      </c>
      <c r="F22" s="61">
        <v>1</v>
      </c>
      <c r="G22" s="62">
        <v>2000</v>
      </c>
      <c r="H22" s="57" t="s">
        <v>63</v>
      </c>
      <c r="I22" s="58">
        <v>0</v>
      </c>
      <c r="J22" s="58">
        <f t="shared" si="4"/>
        <v>2000</v>
      </c>
      <c r="K22" s="58">
        <v>0</v>
      </c>
      <c r="L22" s="60">
        <v>0</v>
      </c>
      <c r="M22" s="32">
        <v>0</v>
      </c>
      <c r="N22" s="32">
        <v>0</v>
      </c>
      <c r="O22" s="32">
        <v>0</v>
      </c>
      <c r="P22" s="31">
        <v>0</v>
      </c>
      <c r="Q22" s="31">
        <v>0</v>
      </c>
      <c r="R22" s="154">
        <v>0</v>
      </c>
      <c r="S22" s="154">
        <v>0</v>
      </c>
      <c r="T22" s="154"/>
      <c r="U22" s="154"/>
      <c r="V22" s="31">
        <f t="shared" si="0"/>
        <v>0</v>
      </c>
      <c r="W22" s="31">
        <f t="shared" si="1"/>
        <v>0</v>
      </c>
    </row>
    <row r="23" spans="1:23" ht="25.5" customHeight="1" x14ac:dyDescent="0.25">
      <c r="A23" s="173"/>
      <c r="B23" s="173"/>
      <c r="C23" s="213"/>
      <c r="D23" s="63" t="s">
        <v>104</v>
      </c>
      <c r="E23" s="64" t="s">
        <v>81</v>
      </c>
      <c r="F23" s="64">
        <v>1</v>
      </c>
      <c r="G23" s="65">
        <v>1500</v>
      </c>
      <c r="H23" s="57" t="s">
        <v>63</v>
      </c>
      <c r="I23" s="58">
        <v>0</v>
      </c>
      <c r="J23" s="58">
        <f t="shared" si="4"/>
        <v>1500</v>
      </c>
      <c r="K23" s="58">
        <v>0</v>
      </c>
      <c r="L23" s="60">
        <v>0</v>
      </c>
      <c r="M23" s="32">
        <v>0</v>
      </c>
      <c r="N23" s="32">
        <v>0</v>
      </c>
      <c r="O23" s="32">
        <v>0</v>
      </c>
      <c r="P23" s="31">
        <v>0</v>
      </c>
      <c r="Q23" s="31">
        <v>0</v>
      </c>
      <c r="R23" s="154">
        <v>0</v>
      </c>
      <c r="S23" s="154">
        <v>0</v>
      </c>
      <c r="T23" s="154"/>
      <c r="U23" s="154"/>
      <c r="V23" s="31">
        <f t="shared" si="0"/>
        <v>0</v>
      </c>
      <c r="W23" s="31">
        <f t="shared" si="1"/>
        <v>0</v>
      </c>
    </row>
    <row r="24" spans="1:23" ht="30" customHeight="1" x14ac:dyDescent="0.25">
      <c r="A24" s="173"/>
      <c r="B24" s="173"/>
      <c r="C24" s="213"/>
      <c r="D24" s="54" t="s">
        <v>129</v>
      </c>
      <c r="E24" s="55" t="s">
        <v>81</v>
      </c>
      <c r="F24" s="55">
        <v>20</v>
      </c>
      <c r="G24" s="56">
        <v>450</v>
      </c>
      <c r="H24" s="57" t="s">
        <v>63</v>
      </c>
      <c r="I24" s="58">
        <v>0</v>
      </c>
      <c r="J24" s="58">
        <f>F24*G24*0.5</f>
        <v>4500</v>
      </c>
      <c r="K24" s="58">
        <f>F24*G24*0.5</f>
        <v>4500</v>
      </c>
      <c r="L24" s="60">
        <f t="shared" si="3"/>
        <v>9000</v>
      </c>
      <c r="M24" s="32">
        <v>0</v>
      </c>
      <c r="N24" s="32">
        <v>0</v>
      </c>
      <c r="O24" s="32">
        <v>0</v>
      </c>
      <c r="P24" s="31">
        <v>0</v>
      </c>
      <c r="Q24" s="31">
        <v>0</v>
      </c>
      <c r="R24" s="154">
        <v>0</v>
      </c>
      <c r="S24" s="154">
        <v>3912.26</v>
      </c>
      <c r="T24" s="154"/>
      <c r="U24" s="154"/>
      <c r="V24" s="31">
        <f t="shared" si="0"/>
        <v>3912.26</v>
      </c>
      <c r="W24" s="31">
        <f t="shared" si="1"/>
        <v>5087.74</v>
      </c>
    </row>
    <row r="25" spans="1:23" ht="30" customHeight="1" x14ac:dyDescent="0.25">
      <c r="A25" s="173"/>
      <c r="B25" s="173"/>
      <c r="C25" s="213"/>
      <c r="D25" s="54" t="s">
        <v>189</v>
      </c>
      <c r="E25" s="55" t="s">
        <v>81</v>
      </c>
      <c r="F25" s="55">
        <v>16</v>
      </c>
      <c r="G25" s="56">
        <v>500</v>
      </c>
      <c r="H25" s="57" t="s">
        <v>63</v>
      </c>
      <c r="I25" s="58"/>
      <c r="J25" s="58">
        <f>F25*G25*0.5</f>
        <v>4000</v>
      </c>
      <c r="K25" s="58"/>
      <c r="L25" s="60">
        <f>F25*G25</f>
        <v>8000</v>
      </c>
      <c r="M25" s="32">
        <v>0</v>
      </c>
      <c r="N25" s="32">
        <v>0</v>
      </c>
      <c r="O25" s="32">
        <v>0</v>
      </c>
      <c r="P25" s="31">
        <v>0</v>
      </c>
      <c r="Q25" s="31">
        <v>0</v>
      </c>
      <c r="R25" s="154">
        <v>0</v>
      </c>
      <c r="S25" s="154">
        <v>0</v>
      </c>
      <c r="T25" s="154"/>
      <c r="U25" s="154"/>
      <c r="V25" s="31">
        <f t="shared" si="0"/>
        <v>0</v>
      </c>
      <c r="W25" s="31">
        <f t="shared" ref="W25" si="5">L25-V25</f>
        <v>8000</v>
      </c>
    </row>
    <row r="26" spans="1:23" ht="57.6" customHeight="1" x14ac:dyDescent="0.25">
      <c r="A26" s="173"/>
      <c r="B26" s="173"/>
      <c r="C26" s="213"/>
      <c r="D26" s="54" t="s">
        <v>101</v>
      </c>
      <c r="E26" s="55" t="s">
        <v>81</v>
      </c>
      <c r="F26" s="55">
        <v>12</v>
      </c>
      <c r="G26" s="56">
        <v>450</v>
      </c>
      <c r="H26" s="57" t="s">
        <v>63</v>
      </c>
      <c r="I26" s="58">
        <v>0</v>
      </c>
      <c r="J26" s="58">
        <f>F26*G26*0.5</f>
        <v>2700</v>
      </c>
      <c r="K26" s="58">
        <f>F26*G26*0.5</f>
        <v>2700</v>
      </c>
      <c r="L26" s="60">
        <f t="shared" si="3"/>
        <v>5400</v>
      </c>
      <c r="M26" s="32">
        <v>0</v>
      </c>
      <c r="N26" s="32">
        <v>0</v>
      </c>
      <c r="O26" s="32">
        <v>0</v>
      </c>
      <c r="P26" s="31">
        <v>0</v>
      </c>
      <c r="Q26" s="31">
        <v>0</v>
      </c>
      <c r="R26" s="154">
        <v>0</v>
      </c>
      <c r="S26" s="154">
        <v>5720.77</v>
      </c>
      <c r="T26" s="154"/>
      <c r="U26" s="154"/>
      <c r="V26" s="31">
        <f t="shared" si="0"/>
        <v>5720.77</v>
      </c>
      <c r="W26" s="31">
        <f t="shared" si="1"/>
        <v>-320.77000000000044</v>
      </c>
    </row>
    <row r="27" spans="1:23" ht="38.25" customHeight="1" x14ac:dyDescent="0.25">
      <c r="A27" s="173"/>
      <c r="B27" s="173"/>
      <c r="C27" s="213"/>
      <c r="D27" s="57" t="s">
        <v>118</v>
      </c>
      <c r="E27" s="61" t="s">
        <v>86</v>
      </c>
      <c r="F27" s="61">
        <v>4</v>
      </c>
      <c r="G27" s="62">
        <v>3000</v>
      </c>
      <c r="H27" s="57" t="s">
        <v>52</v>
      </c>
      <c r="I27" s="58">
        <v>0</v>
      </c>
      <c r="J27" s="58">
        <f t="shared" ref="J27:J28" si="6">F27*G27*0.5</f>
        <v>6000</v>
      </c>
      <c r="K27" s="58">
        <f t="shared" ref="K27:K28" si="7">F27*G27*0.5</f>
        <v>6000</v>
      </c>
      <c r="L27" s="60">
        <f t="shared" si="3"/>
        <v>12000</v>
      </c>
      <c r="M27" s="32">
        <v>0</v>
      </c>
      <c r="N27" s="32">
        <v>525</v>
      </c>
      <c r="O27" s="32">
        <v>958.36</v>
      </c>
      <c r="P27" s="32">
        <v>2455.27</v>
      </c>
      <c r="Q27" s="32">
        <v>614.07000000000005</v>
      </c>
      <c r="R27" s="155">
        <v>0</v>
      </c>
      <c r="S27" s="155">
        <v>0</v>
      </c>
      <c r="T27" s="155">
        <v>4839.8599999999997</v>
      </c>
      <c r="U27" s="155">
        <v>7.34</v>
      </c>
      <c r="V27" s="31">
        <f t="shared" si="0"/>
        <v>9399.9</v>
      </c>
      <c r="W27" s="31">
        <f>L27-V27</f>
        <v>2600.1000000000004</v>
      </c>
    </row>
    <row r="28" spans="1:23" ht="25.5" x14ac:dyDescent="0.25">
      <c r="A28" s="173"/>
      <c r="B28" s="173"/>
      <c r="C28" s="213"/>
      <c r="D28" s="57" t="s">
        <v>119</v>
      </c>
      <c r="E28" s="61" t="s">
        <v>86</v>
      </c>
      <c r="F28" s="61">
        <v>4</v>
      </c>
      <c r="G28" s="62">
        <v>1500</v>
      </c>
      <c r="H28" s="57" t="s">
        <v>52</v>
      </c>
      <c r="I28" s="58">
        <v>0</v>
      </c>
      <c r="J28" s="58">
        <f t="shared" si="6"/>
        <v>3000</v>
      </c>
      <c r="K28" s="58">
        <f t="shared" si="7"/>
        <v>3000</v>
      </c>
      <c r="L28" s="60">
        <f>SUM(I28,J28,K28)</f>
        <v>6000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155">
        <v>0</v>
      </c>
      <c r="S28" s="155">
        <v>0</v>
      </c>
      <c r="T28" s="155"/>
      <c r="U28" s="155"/>
      <c r="V28" s="31">
        <f t="shared" si="0"/>
        <v>0</v>
      </c>
      <c r="W28" s="31">
        <f t="shared" si="1"/>
        <v>6000</v>
      </c>
    </row>
    <row r="29" spans="1:23" ht="30.6" customHeight="1" x14ac:dyDescent="0.25">
      <c r="A29" s="173"/>
      <c r="B29" s="173"/>
      <c r="C29" s="213"/>
      <c r="D29" s="57" t="s">
        <v>120</v>
      </c>
      <c r="E29" s="61" t="s">
        <v>86</v>
      </c>
      <c r="F29" s="61">
        <v>3</v>
      </c>
      <c r="G29" s="62">
        <v>3000</v>
      </c>
      <c r="H29" s="57" t="s">
        <v>52</v>
      </c>
      <c r="I29" s="58">
        <v>0</v>
      </c>
      <c r="J29" s="58">
        <v>0</v>
      </c>
      <c r="K29" s="58">
        <f>F29*G29</f>
        <v>9000</v>
      </c>
      <c r="L29" s="60">
        <f>SUM(I29,J29,K29)</f>
        <v>9000</v>
      </c>
      <c r="M29" s="32">
        <v>0</v>
      </c>
      <c r="N29" s="32">
        <v>0</v>
      </c>
      <c r="O29" s="32">
        <v>1186.8</v>
      </c>
      <c r="P29" s="32">
        <v>1237.57</v>
      </c>
      <c r="Q29" s="32">
        <v>128.35</v>
      </c>
      <c r="R29" s="155">
        <v>0</v>
      </c>
      <c r="S29" s="155">
        <v>1927.56</v>
      </c>
      <c r="T29" s="155"/>
      <c r="U29" s="155"/>
      <c r="V29" s="31">
        <f t="shared" si="0"/>
        <v>4480.28</v>
      </c>
      <c r="W29" s="31">
        <f>L29-V29</f>
        <v>4519.72</v>
      </c>
    </row>
    <row r="30" spans="1:23" ht="30.6" customHeight="1" x14ac:dyDescent="0.25">
      <c r="A30" s="173"/>
      <c r="B30" s="173"/>
      <c r="C30" s="151"/>
      <c r="D30" s="230" t="s">
        <v>190</v>
      </c>
      <c r="E30" s="160" t="s">
        <v>81</v>
      </c>
      <c r="F30" s="160">
        <v>30</v>
      </c>
      <c r="G30" s="161">
        <v>500</v>
      </c>
      <c r="H30" s="57" t="s">
        <v>63</v>
      </c>
      <c r="I30" s="58"/>
      <c r="J30" s="58"/>
      <c r="K30" s="58"/>
      <c r="L30" s="60">
        <f>F30*G30</f>
        <v>15000</v>
      </c>
      <c r="M30" s="32"/>
      <c r="N30" s="32"/>
      <c r="O30" s="32"/>
      <c r="P30" s="32"/>
      <c r="Q30" s="32"/>
      <c r="R30" s="155"/>
      <c r="S30" s="155"/>
      <c r="T30" s="155"/>
      <c r="U30" s="155"/>
      <c r="V30" s="31">
        <f t="shared" si="0"/>
        <v>0</v>
      </c>
      <c r="W30" s="31">
        <f>L30-V30</f>
        <v>15000</v>
      </c>
    </row>
    <row r="31" spans="1:23" ht="30.6" customHeight="1" x14ac:dyDescent="0.25">
      <c r="A31" s="173"/>
      <c r="B31" s="173"/>
      <c r="C31" s="151"/>
      <c r="D31" s="230" t="s">
        <v>191</v>
      </c>
      <c r="E31" s="160" t="s">
        <v>82</v>
      </c>
      <c r="F31" s="160">
        <v>1</v>
      </c>
      <c r="G31" s="161">
        <v>5000</v>
      </c>
      <c r="H31" s="57" t="s">
        <v>52</v>
      </c>
      <c r="I31" s="58"/>
      <c r="J31" s="58"/>
      <c r="K31" s="58"/>
      <c r="L31" s="60">
        <f t="shared" ref="L31:L34" si="8">F31*G31</f>
        <v>5000</v>
      </c>
      <c r="M31" s="32"/>
      <c r="N31" s="32"/>
      <c r="O31" s="32"/>
      <c r="P31" s="32"/>
      <c r="Q31" s="32"/>
      <c r="R31" s="155"/>
      <c r="S31" s="155"/>
      <c r="T31" s="155"/>
      <c r="U31" s="155"/>
      <c r="V31" s="31">
        <f t="shared" si="0"/>
        <v>0</v>
      </c>
      <c r="W31" s="31">
        <f t="shared" ref="W31:W35" si="9">L31-V31</f>
        <v>5000</v>
      </c>
    </row>
    <row r="32" spans="1:23" ht="30.6" customHeight="1" x14ac:dyDescent="0.25">
      <c r="A32" s="173"/>
      <c r="B32" s="173"/>
      <c r="C32" s="151"/>
      <c r="D32" s="230" t="s">
        <v>192</v>
      </c>
      <c r="E32" s="160" t="s">
        <v>81</v>
      </c>
      <c r="F32" s="160">
        <v>10</v>
      </c>
      <c r="G32" s="161">
        <v>500</v>
      </c>
      <c r="H32" s="57" t="s">
        <v>63</v>
      </c>
      <c r="I32" s="58"/>
      <c r="J32" s="58"/>
      <c r="K32" s="58"/>
      <c r="L32" s="60">
        <f t="shared" si="8"/>
        <v>5000</v>
      </c>
      <c r="M32" s="32"/>
      <c r="N32" s="32"/>
      <c r="O32" s="32"/>
      <c r="P32" s="32"/>
      <c r="Q32" s="32"/>
      <c r="R32" s="155"/>
      <c r="S32" s="155"/>
      <c r="T32" s="155"/>
      <c r="U32" s="155"/>
      <c r="V32" s="31">
        <f t="shared" si="0"/>
        <v>0</v>
      </c>
      <c r="W32" s="31">
        <f t="shared" si="9"/>
        <v>5000</v>
      </c>
    </row>
    <row r="33" spans="1:23" ht="30.6" customHeight="1" x14ac:dyDescent="0.25">
      <c r="A33" s="173"/>
      <c r="B33" s="173"/>
      <c r="C33" s="151"/>
      <c r="D33" s="230" t="s">
        <v>193</v>
      </c>
      <c r="E33" s="160" t="s">
        <v>81</v>
      </c>
      <c r="F33" s="160">
        <v>10</v>
      </c>
      <c r="G33" s="161">
        <v>500</v>
      </c>
      <c r="H33" s="57" t="s">
        <v>63</v>
      </c>
      <c r="I33" s="58"/>
      <c r="J33" s="58"/>
      <c r="K33" s="58"/>
      <c r="L33" s="60">
        <f t="shared" si="8"/>
        <v>5000</v>
      </c>
      <c r="M33" s="32"/>
      <c r="N33" s="32"/>
      <c r="O33" s="32"/>
      <c r="P33" s="32"/>
      <c r="Q33" s="32"/>
      <c r="R33" s="155"/>
      <c r="S33" s="155"/>
      <c r="T33" s="155"/>
      <c r="U33" s="155"/>
      <c r="V33" s="31">
        <f t="shared" si="0"/>
        <v>0</v>
      </c>
      <c r="W33" s="31">
        <f t="shared" si="9"/>
        <v>5000</v>
      </c>
    </row>
    <row r="34" spans="1:23" ht="30.6" customHeight="1" x14ac:dyDescent="0.25">
      <c r="A34" s="173"/>
      <c r="B34" s="173"/>
      <c r="C34" s="151"/>
      <c r="D34" s="230" t="s">
        <v>194</v>
      </c>
      <c r="E34" s="160" t="s">
        <v>82</v>
      </c>
      <c r="F34" s="160">
        <v>1</v>
      </c>
      <c r="G34" s="161">
        <v>2000</v>
      </c>
      <c r="H34" s="57" t="s">
        <v>52</v>
      </c>
      <c r="I34" s="58"/>
      <c r="J34" s="58"/>
      <c r="K34" s="58"/>
      <c r="L34" s="60">
        <f t="shared" si="8"/>
        <v>2000</v>
      </c>
      <c r="M34" s="32"/>
      <c r="N34" s="32"/>
      <c r="O34" s="32"/>
      <c r="P34" s="32"/>
      <c r="Q34" s="32"/>
      <c r="R34" s="155"/>
      <c r="S34" s="155"/>
      <c r="T34" s="155"/>
      <c r="U34" s="155"/>
      <c r="V34" s="31">
        <f t="shared" si="0"/>
        <v>0</v>
      </c>
      <c r="W34" s="31">
        <f t="shared" si="9"/>
        <v>2000</v>
      </c>
    </row>
    <row r="35" spans="1:23" s="152" customFormat="1" ht="30.6" customHeight="1" x14ac:dyDescent="0.25">
      <c r="A35" s="173"/>
      <c r="B35" s="173"/>
      <c r="C35" s="164"/>
      <c r="D35" s="230" t="s">
        <v>195</v>
      </c>
      <c r="E35" s="165" t="s">
        <v>81</v>
      </c>
      <c r="F35" s="165">
        <v>10</v>
      </c>
      <c r="G35" s="166">
        <v>400</v>
      </c>
      <c r="H35" s="148" t="s">
        <v>63</v>
      </c>
      <c r="I35" s="149"/>
      <c r="J35" s="149"/>
      <c r="K35" s="149"/>
      <c r="L35" s="150">
        <v>3600</v>
      </c>
      <c r="M35" s="155"/>
      <c r="N35" s="155"/>
      <c r="O35" s="155"/>
      <c r="P35" s="155"/>
      <c r="Q35" s="155"/>
      <c r="R35" s="155"/>
      <c r="S35" s="155"/>
      <c r="T35" s="155"/>
      <c r="U35" s="155"/>
      <c r="V35" s="31">
        <f t="shared" si="0"/>
        <v>0</v>
      </c>
      <c r="W35" s="31">
        <f t="shared" si="9"/>
        <v>3600</v>
      </c>
    </row>
    <row r="36" spans="1:23" ht="15" customHeight="1" x14ac:dyDescent="0.25">
      <c r="A36" s="173"/>
      <c r="B36" s="173"/>
      <c r="C36" s="66" t="s">
        <v>6</v>
      </c>
      <c r="D36" s="67"/>
      <c r="E36" s="68"/>
      <c r="F36" s="68"/>
      <c r="G36" s="68"/>
      <c r="H36" s="69"/>
      <c r="I36" s="70">
        <f>SUM(I13:I29)</f>
        <v>2250</v>
      </c>
      <c r="J36" s="70">
        <f>SUM(J13:J29)</f>
        <v>54600</v>
      </c>
      <c r="K36" s="70">
        <f>SUM(K13:K29)</f>
        <v>28700</v>
      </c>
      <c r="L36" s="71">
        <f>SUM(L13:L35)</f>
        <v>114659</v>
      </c>
      <c r="M36" s="33">
        <f t="shared" ref="M36" si="10">SUM(M13:M29)</f>
        <v>0</v>
      </c>
      <c r="N36" s="33">
        <f t="shared" ref="N36:P36" si="11">SUM(N13:N29)</f>
        <v>525</v>
      </c>
      <c r="O36" s="33">
        <f t="shared" si="11"/>
        <v>2638.7200000000003</v>
      </c>
      <c r="P36" s="33">
        <f t="shared" si="11"/>
        <v>3692.84</v>
      </c>
      <c r="Q36" s="33">
        <f t="shared" ref="Q36:U36" si="12">SUM(Q13:Q29)</f>
        <v>1617.69</v>
      </c>
      <c r="R36" s="33">
        <f t="shared" si="12"/>
        <v>0</v>
      </c>
      <c r="S36" s="33">
        <f t="shared" si="12"/>
        <v>26081.730000000003</v>
      </c>
      <c r="T36" s="33">
        <f t="shared" si="12"/>
        <v>6279.42</v>
      </c>
      <c r="U36" s="33">
        <f t="shared" si="12"/>
        <v>2941.61</v>
      </c>
      <c r="V36" s="33">
        <f>SUM(V13:V35)</f>
        <v>43777.01</v>
      </c>
      <c r="W36" s="33">
        <f>SUM(W13:W35)</f>
        <v>70881.990000000005</v>
      </c>
    </row>
    <row r="37" spans="1:23" s="23" customFormat="1" ht="30.6" customHeight="1" x14ac:dyDescent="0.25">
      <c r="A37" s="173"/>
      <c r="B37" s="173"/>
      <c r="C37" s="170" t="s">
        <v>138</v>
      </c>
      <c r="D37" s="72" t="s">
        <v>115</v>
      </c>
      <c r="E37" s="73" t="s">
        <v>81</v>
      </c>
      <c r="F37" s="73">
        <v>10</v>
      </c>
      <c r="G37" s="74">
        <v>400</v>
      </c>
      <c r="H37" s="50" t="s">
        <v>63</v>
      </c>
      <c r="I37" s="51">
        <v>0</v>
      </c>
      <c r="J37" s="51">
        <f t="shared" ref="J37:J41" si="13">F37*G37</f>
        <v>4000</v>
      </c>
      <c r="K37" s="51">
        <v>0</v>
      </c>
      <c r="L37" s="53">
        <f>SUM(I37,J37,K37)</f>
        <v>4000</v>
      </c>
      <c r="M37" s="31">
        <v>0</v>
      </c>
      <c r="N37" s="31">
        <v>0</v>
      </c>
      <c r="O37" s="31">
        <v>1222</v>
      </c>
      <c r="P37" s="31">
        <v>0</v>
      </c>
      <c r="Q37" s="31">
        <v>1400.44</v>
      </c>
      <c r="R37" s="154">
        <v>0</v>
      </c>
      <c r="S37" s="154">
        <v>0</v>
      </c>
      <c r="T37" s="154"/>
      <c r="U37" s="154"/>
      <c r="V37" s="31">
        <f>SUM(M37:U37)</f>
        <v>2622.44</v>
      </c>
      <c r="W37" s="31">
        <f>L37-V37</f>
        <v>1377.56</v>
      </c>
    </row>
    <row r="38" spans="1:23" ht="33.950000000000003" customHeight="1" x14ac:dyDescent="0.25">
      <c r="A38" s="173"/>
      <c r="B38" s="173"/>
      <c r="C38" s="171"/>
      <c r="D38" s="145" t="s">
        <v>111</v>
      </c>
      <c r="E38" s="146" t="s">
        <v>79</v>
      </c>
      <c r="F38" s="146">
        <v>1</v>
      </c>
      <c r="G38" s="147">
        <v>35100</v>
      </c>
      <c r="H38" s="148" t="s">
        <v>63</v>
      </c>
      <c r="I38" s="149">
        <v>0</v>
      </c>
      <c r="J38" s="149">
        <f t="shared" si="13"/>
        <v>35100</v>
      </c>
      <c r="K38" s="149">
        <v>0</v>
      </c>
      <c r="L38" s="150">
        <f t="shared" ref="L38:L54" si="14">SUM(I38,J38,K38)</f>
        <v>35100</v>
      </c>
      <c r="M38" s="32">
        <v>0</v>
      </c>
      <c r="N38" s="32">
        <v>0</v>
      </c>
      <c r="O38" s="32">
        <v>0</v>
      </c>
      <c r="P38" s="32">
        <v>0</v>
      </c>
      <c r="Q38" s="32">
        <v>35099.69</v>
      </c>
      <c r="R38" s="155">
        <v>0</v>
      </c>
      <c r="S38" s="155">
        <v>0</v>
      </c>
      <c r="T38" s="155"/>
      <c r="U38" s="155"/>
      <c r="V38" s="31">
        <f t="shared" ref="V38:V49" si="15">SUM(M38:U38)</f>
        <v>35099.69</v>
      </c>
      <c r="W38" s="31">
        <f>L38-V38</f>
        <v>0.30999999999767169</v>
      </c>
    </row>
    <row r="39" spans="1:23" x14ac:dyDescent="0.25">
      <c r="A39" s="173"/>
      <c r="B39" s="173"/>
      <c r="C39" s="171"/>
      <c r="D39" s="145" t="s">
        <v>112</v>
      </c>
      <c r="E39" s="146" t="s">
        <v>79</v>
      </c>
      <c r="F39" s="146">
        <v>1</v>
      </c>
      <c r="G39" s="147">
        <v>40000</v>
      </c>
      <c r="H39" s="148" t="s">
        <v>63</v>
      </c>
      <c r="I39" s="149">
        <v>0</v>
      </c>
      <c r="J39" s="149">
        <f t="shared" si="13"/>
        <v>40000</v>
      </c>
      <c r="K39" s="149">
        <v>0</v>
      </c>
      <c r="L39" s="150">
        <v>46445</v>
      </c>
      <c r="M39" s="32">
        <v>0</v>
      </c>
      <c r="N39" s="32">
        <v>0</v>
      </c>
      <c r="O39" s="32">
        <v>0</v>
      </c>
      <c r="P39" s="32">
        <v>0</v>
      </c>
      <c r="Q39" s="32">
        <v>46445.15</v>
      </c>
      <c r="R39" s="155">
        <v>0</v>
      </c>
      <c r="S39" s="155">
        <v>0</v>
      </c>
      <c r="T39" s="155"/>
      <c r="U39" s="155"/>
      <c r="V39" s="31">
        <f t="shared" si="15"/>
        <v>46445.15</v>
      </c>
      <c r="W39" s="31">
        <f>L39-V39</f>
        <v>-0.15000000000145519</v>
      </c>
    </row>
    <row r="40" spans="1:23" x14ac:dyDescent="0.25">
      <c r="A40" s="173"/>
      <c r="B40" s="173"/>
      <c r="C40" s="171"/>
      <c r="D40" s="75" t="s">
        <v>113</v>
      </c>
      <c r="E40" s="76" t="s">
        <v>79</v>
      </c>
      <c r="F40" s="76">
        <v>5</v>
      </c>
      <c r="G40" s="77">
        <v>1000</v>
      </c>
      <c r="H40" s="57" t="s">
        <v>63</v>
      </c>
      <c r="I40" s="58">
        <v>0</v>
      </c>
      <c r="J40" s="58">
        <f t="shared" si="13"/>
        <v>5000</v>
      </c>
      <c r="K40" s="58">
        <v>0</v>
      </c>
      <c r="L40" s="60">
        <v>5222</v>
      </c>
      <c r="M40" s="32">
        <v>0</v>
      </c>
      <c r="N40" s="32">
        <v>0</v>
      </c>
      <c r="O40" s="32">
        <v>0</v>
      </c>
      <c r="P40" s="32">
        <v>0</v>
      </c>
      <c r="Q40" s="32">
        <v>5221.5200000000004</v>
      </c>
      <c r="R40" s="155">
        <v>0</v>
      </c>
      <c r="S40" s="155">
        <v>0</v>
      </c>
      <c r="T40" s="155"/>
      <c r="U40" s="155"/>
      <c r="V40" s="31">
        <f t="shared" si="15"/>
        <v>5221.5200000000004</v>
      </c>
      <c r="W40" s="31">
        <f>L40-V40</f>
        <v>0.47999999999956344</v>
      </c>
    </row>
    <row r="41" spans="1:23" ht="42" customHeight="1" x14ac:dyDescent="0.25">
      <c r="A41" s="173"/>
      <c r="B41" s="173"/>
      <c r="C41" s="175"/>
      <c r="D41" s="75" t="s">
        <v>162</v>
      </c>
      <c r="E41" s="76" t="s">
        <v>79</v>
      </c>
      <c r="F41" s="76">
        <v>1</v>
      </c>
      <c r="G41" s="77">
        <v>500</v>
      </c>
      <c r="H41" s="57" t="s">
        <v>63</v>
      </c>
      <c r="I41" s="58">
        <v>0</v>
      </c>
      <c r="J41" s="58">
        <f t="shared" si="13"/>
        <v>500</v>
      </c>
      <c r="K41" s="58">
        <v>0</v>
      </c>
      <c r="L41" s="60">
        <v>210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155">
        <v>0</v>
      </c>
      <c r="S41" s="155">
        <v>209.85</v>
      </c>
      <c r="T41" s="155"/>
      <c r="U41" s="155"/>
      <c r="V41" s="31">
        <f t="shared" si="15"/>
        <v>209.85</v>
      </c>
      <c r="W41" s="31">
        <f>L41-V41</f>
        <v>0.15000000000000568</v>
      </c>
    </row>
    <row r="42" spans="1:23" ht="15" customHeight="1" x14ac:dyDescent="0.25">
      <c r="A42" s="173"/>
      <c r="B42" s="173"/>
      <c r="C42" s="66" t="s">
        <v>7</v>
      </c>
      <c r="D42" s="67"/>
      <c r="E42" s="68"/>
      <c r="F42" s="68"/>
      <c r="G42" s="68"/>
      <c r="H42" s="69"/>
      <c r="I42" s="70">
        <f>SUM(I37:I41)</f>
        <v>0</v>
      </c>
      <c r="J42" s="70">
        <f>SUM(J37:J41)</f>
        <v>84600</v>
      </c>
      <c r="K42" s="70">
        <f>SUM(K37:K41)</f>
        <v>0</v>
      </c>
      <c r="L42" s="71">
        <v>90976</v>
      </c>
      <c r="M42" s="33">
        <f t="shared" ref="M42" si="16">SUM(M37:M41)</f>
        <v>0</v>
      </c>
      <c r="N42" s="33">
        <f t="shared" ref="N42:P42" si="17">SUM(N37:N41)</f>
        <v>0</v>
      </c>
      <c r="O42" s="33">
        <f t="shared" si="17"/>
        <v>1222</v>
      </c>
      <c r="P42" s="33">
        <f t="shared" si="17"/>
        <v>0</v>
      </c>
      <c r="Q42" s="33">
        <f t="shared" ref="Q42:W42" si="18">SUM(Q37:Q41)</f>
        <v>88166.8</v>
      </c>
      <c r="R42" s="33">
        <f t="shared" si="18"/>
        <v>0</v>
      </c>
      <c r="S42" s="33">
        <f t="shared" si="18"/>
        <v>209.85</v>
      </c>
      <c r="T42" s="33">
        <f t="shared" si="18"/>
        <v>0</v>
      </c>
      <c r="U42" s="33">
        <f t="shared" si="18"/>
        <v>0</v>
      </c>
      <c r="V42" s="33">
        <f t="shared" si="18"/>
        <v>89598.650000000009</v>
      </c>
      <c r="W42" s="33">
        <f t="shared" si="18"/>
        <v>1378.3499999999958</v>
      </c>
    </row>
    <row r="43" spans="1:23" ht="26.25" customHeight="1" x14ac:dyDescent="0.25">
      <c r="A43" s="173"/>
      <c r="B43" s="173"/>
      <c r="C43" s="214" t="s">
        <v>197</v>
      </c>
      <c r="D43" s="167" t="s">
        <v>198</v>
      </c>
      <c r="E43" s="168" t="s">
        <v>81</v>
      </c>
      <c r="F43" s="168">
        <v>5</v>
      </c>
      <c r="G43" s="169">
        <v>500</v>
      </c>
      <c r="H43" s="57" t="s">
        <v>63</v>
      </c>
      <c r="I43" s="162"/>
      <c r="J43" s="162"/>
      <c r="K43" s="162"/>
      <c r="L43" s="150">
        <f>F43*G43</f>
        <v>2500</v>
      </c>
      <c r="M43" s="163"/>
      <c r="N43" s="163"/>
      <c r="O43" s="163"/>
      <c r="P43" s="163"/>
      <c r="Q43" s="163"/>
      <c r="R43" s="163"/>
      <c r="S43" s="163"/>
      <c r="T43" s="163"/>
      <c r="U43" s="163"/>
      <c r="V43" s="31">
        <f t="shared" si="15"/>
        <v>0</v>
      </c>
      <c r="W43" s="31">
        <f t="shared" ref="W43:W49" si="19">L43-V43</f>
        <v>2500</v>
      </c>
    </row>
    <row r="44" spans="1:23" ht="26.25" customHeight="1" x14ac:dyDescent="0.25">
      <c r="A44" s="173"/>
      <c r="B44" s="173"/>
      <c r="C44" s="215"/>
      <c r="D44" s="167" t="s">
        <v>199</v>
      </c>
      <c r="E44" s="168" t="s">
        <v>79</v>
      </c>
      <c r="F44" s="168">
        <v>3</v>
      </c>
      <c r="G44" s="169">
        <v>36000</v>
      </c>
      <c r="H44" s="148" t="s">
        <v>205</v>
      </c>
      <c r="I44" s="162"/>
      <c r="J44" s="162"/>
      <c r="K44" s="162"/>
      <c r="L44" s="150">
        <f t="shared" ref="L44:L49" si="20">F44*G44</f>
        <v>108000</v>
      </c>
      <c r="M44" s="163"/>
      <c r="N44" s="163"/>
      <c r="O44" s="163"/>
      <c r="P44" s="163"/>
      <c r="Q44" s="163"/>
      <c r="R44" s="163"/>
      <c r="S44" s="163"/>
      <c r="T44" s="163"/>
      <c r="U44" s="163"/>
      <c r="V44" s="31">
        <f t="shared" si="15"/>
        <v>0</v>
      </c>
      <c r="W44" s="31">
        <f t="shared" si="19"/>
        <v>108000</v>
      </c>
    </row>
    <row r="45" spans="1:23" ht="30" customHeight="1" x14ac:dyDescent="0.25">
      <c r="A45" s="173"/>
      <c r="B45" s="173"/>
      <c r="C45" s="215"/>
      <c r="D45" s="167" t="s">
        <v>200</v>
      </c>
      <c r="E45" s="168" t="s">
        <v>79</v>
      </c>
      <c r="F45" s="168">
        <v>10</v>
      </c>
      <c r="G45" s="169">
        <v>1400</v>
      </c>
      <c r="H45" s="148" t="s">
        <v>205</v>
      </c>
      <c r="I45" s="162"/>
      <c r="J45" s="162"/>
      <c r="K45" s="162"/>
      <c r="L45" s="150">
        <f t="shared" si="20"/>
        <v>14000</v>
      </c>
      <c r="M45" s="163"/>
      <c r="N45" s="163"/>
      <c r="O45" s="163"/>
      <c r="P45" s="163"/>
      <c r="Q45" s="163"/>
      <c r="R45" s="163"/>
      <c r="S45" s="163"/>
      <c r="T45" s="163"/>
      <c r="U45" s="163"/>
      <c r="V45" s="31">
        <f t="shared" si="15"/>
        <v>0</v>
      </c>
      <c r="W45" s="31">
        <f t="shared" si="19"/>
        <v>14000</v>
      </c>
    </row>
    <row r="46" spans="1:23" ht="27" customHeight="1" x14ac:dyDescent="0.25">
      <c r="A46" s="173"/>
      <c r="B46" s="173"/>
      <c r="C46" s="215"/>
      <c r="D46" s="167" t="s">
        <v>201</v>
      </c>
      <c r="E46" s="168" t="s">
        <v>79</v>
      </c>
      <c r="F46" s="168">
        <v>4</v>
      </c>
      <c r="G46" s="169">
        <v>1750</v>
      </c>
      <c r="H46" s="148" t="s">
        <v>205</v>
      </c>
      <c r="I46" s="162"/>
      <c r="J46" s="162"/>
      <c r="K46" s="162"/>
      <c r="L46" s="150">
        <f t="shared" si="20"/>
        <v>7000</v>
      </c>
      <c r="M46" s="163"/>
      <c r="N46" s="163"/>
      <c r="O46" s="163"/>
      <c r="P46" s="163"/>
      <c r="Q46" s="163"/>
      <c r="R46" s="163"/>
      <c r="S46" s="163"/>
      <c r="T46" s="163"/>
      <c r="U46" s="163"/>
      <c r="V46" s="31">
        <f t="shared" si="15"/>
        <v>0</v>
      </c>
      <c r="W46" s="31">
        <f t="shared" si="19"/>
        <v>7000</v>
      </c>
    </row>
    <row r="47" spans="1:23" ht="27" customHeight="1" x14ac:dyDescent="0.25">
      <c r="A47" s="173"/>
      <c r="B47" s="173"/>
      <c r="C47" s="215"/>
      <c r="D47" s="167" t="s">
        <v>202</v>
      </c>
      <c r="E47" s="168" t="s">
        <v>79</v>
      </c>
      <c r="F47" s="168">
        <v>6</v>
      </c>
      <c r="G47" s="169">
        <v>1200</v>
      </c>
      <c r="H47" s="148" t="s">
        <v>205</v>
      </c>
      <c r="I47" s="162"/>
      <c r="J47" s="162"/>
      <c r="K47" s="162"/>
      <c r="L47" s="150">
        <f t="shared" si="20"/>
        <v>7200</v>
      </c>
      <c r="M47" s="163"/>
      <c r="N47" s="163"/>
      <c r="O47" s="163"/>
      <c r="P47" s="163"/>
      <c r="Q47" s="163"/>
      <c r="R47" s="163"/>
      <c r="S47" s="163"/>
      <c r="T47" s="163"/>
      <c r="U47" s="163"/>
      <c r="V47" s="31">
        <f t="shared" si="15"/>
        <v>0</v>
      </c>
      <c r="W47" s="31">
        <f t="shared" si="19"/>
        <v>7200</v>
      </c>
    </row>
    <row r="48" spans="1:23" ht="24" customHeight="1" x14ac:dyDescent="0.25">
      <c r="A48" s="173"/>
      <c r="B48" s="173"/>
      <c r="C48" s="215"/>
      <c r="D48" s="167" t="s">
        <v>203</v>
      </c>
      <c r="E48" s="168" t="s">
        <v>81</v>
      </c>
      <c r="F48" s="168">
        <v>5</v>
      </c>
      <c r="G48" s="169">
        <v>500</v>
      </c>
      <c r="H48" s="57" t="s">
        <v>63</v>
      </c>
      <c r="I48" s="162"/>
      <c r="J48" s="162"/>
      <c r="K48" s="162"/>
      <c r="L48" s="150">
        <f t="shared" si="20"/>
        <v>2500</v>
      </c>
      <c r="M48" s="163"/>
      <c r="N48" s="163"/>
      <c r="O48" s="163"/>
      <c r="P48" s="163"/>
      <c r="Q48" s="163"/>
      <c r="R48" s="163"/>
      <c r="S48" s="163"/>
      <c r="T48" s="163"/>
      <c r="U48" s="163"/>
      <c r="V48" s="31">
        <f t="shared" si="15"/>
        <v>0</v>
      </c>
      <c r="W48" s="31">
        <f t="shared" si="19"/>
        <v>2500</v>
      </c>
    </row>
    <row r="49" spans="1:24" ht="26.25" customHeight="1" x14ac:dyDescent="0.25">
      <c r="A49" s="173"/>
      <c r="B49" s="173"/>
      <c r="C49" s="216"/>
      <c r="D49" s="167" t="s">
        <v>204</v>
      </c>
      <c r="E49" s="168" t="s">
        <v>82</v>
      </c>
      <c r="F49" s="168">
        <v>1</v>
      </c>
      <c r="G49" s="169">
        <v>33700</v>
      </c>
      <c r="H49" s="57" t="s">
        <v>63</v>
      </c>
      <c r="I49" s="162"/>
      <c r="J49" s="162"/>
      <c r="K49" s="162"/>
      <c r="L49" s="150">
        <f t="shared" si="20"/>
        <v>33700</v>
      </c>
      <c r="M49" s="163"/>
      <c r="N49" s="163"/>
      <c r="O49" s="163"/>
      <c r="P49" s="163"/>
      <c r="Q49" s="163"/>
      <c r="R49" s="163"/>
      <c r="S49" s="163"/>
      <c r="T49" s="163"/>
      <c r="U49" s="163"/>
      <c r="V49" s="31">
        <f t="shared" si="15"/>
        <v>0</v>
      </c>
      <c r="W49" s="31">
        <f t="shared" si="19"/>
        <v>33700</v>
      </c>
    </row>
    <row r="50" spans="1:24" ht="15" customHeight="1" x14ac:dyDescent="0.25">
      <c r="A50" s="173"/>
      <c r="B50" s="173"/>
      <c r="C50" s="66" t="s">
        <v>196</v>
      </c>
      <c r="D50" s="67"/>
      <c r="E50" s="68"/>
      <c r="F50" s="68"/>
      <c r="G50" s="68"/>
      <c r="H50" s="69"/>
      <c r="I50" s="70"/>
      <c r="J50" s="70"/>
      <c r="K50" s="70"/>
      <c r="L50" s="71">
        <f>SUM(L43:L49)</f>
        <v>174900</v>
      </c>
      <c r="M50" s="33"/>
      <c r="N50" s="33"/>
      <c r="O50" s="33"/>
      <c r="P50" s="33"/>
      <c r="Q50" s="33"/>
      <c r="R50" s="33"/>
      <c r="S50" s="33"/>
      <c r="T50" s="33"/>
      <c r="U50" s="33"/>
      <c r="V50" s="33">
        <f>SUM(V43:V49)</f>
        <v>0</v>
      </c>
      <c r="W50" s="33">
        <f>SUM(W43:W49)</f>
        <v>174900</v>
      </c>
    </row>
    <row r="51" spans="1:24" ht="15" customHeight="1" x14ac:dyDescent="0.25">
      <c r="A51" s="173"/>
      <c r="B51" s="174"/>
      <c r="C51" s="78" t="s">
        <v>8</v>
      </c>
      <c r="D51" s="78"/>
      <c r="E51" s="79"/>
      <c r="F51" s="79"/>
      <c r="G51" s="79"/>
      <c r="H51" s="79"/>
      <c r="I51" s="80">
        <f>SUM(I36,I42)</f>
        <v>2250</v>
      </c>
      <c r="J51" s="80">
        <f>SUM(J36,J42)</f>
        <v>139200</v>
      </c>
      <c r="K51" s="80">
        <f>SUM(K36,K42)</f>
        <v>28700</v>
      </c>
      <c r="L51" s="81">
        <f>SUM(L36,L42,L50)</f>
        <v>380535</v>
      </c>
      <c r="M51" s="34">
        <f t="shared" ref="M51" si="21">M36+M42</f>
        <v>0</v>
      </c>
      <c r="N51" s="34">
        <f t="shared" ref="N51:P51" si="22">N36+N42</f>
        <v>525</v>
      </c>
      <c r="O51" s="34">
        <f t="shared" si="22"/>
        <v>3860.7200000000003</v>
      </c>
      <c r="P51" s="34">
        <f t="shared" si="22"/>
        <v>3692.84</v>
      </c>
      <c r="Q51" s="34">
        <f t="shared" ref="Q51:V51" si="23">Q36+Q42</f>
        <v>89784.49</v>
      </c>
      <c r="R51" s="34">
        <f t="shared" si="23"/>
        <v>0</v>
      </c>
      <c r="S51" s="34">
        <f t="shared" si="23"/>
        <v>26291.58</v>
      </c>
      <c r="T51" s="34">
        <f t="shared" si="23"/>
        <v>6279.42</v>
      </c>
      <c r="U51" s="34">
        <f t="shared" si="23"/>
        <v>2941.61</v>
      </c>
      <c r="V51" s="34">
        <f t="shared" si="23"/>
        <v>133375.66</v>
      </c>
      <c r="W51" s="34">
        <f>W36+W42+W50</f>
        <v>247160.34</v>
      </c>
    </row>
    <row r="52" spans="1:24" ht="33" customHeight="1" x14ac:dyDescent="0.25">
      <c r="A52" s="173"/>
      <c r="B52" s="172" t="s">
        <v>140</v>
      </c>
      <c r="C52" s="170" t="s">
        <v>141</v>
      </c>
      <c r="D52" s="54" t="s">
        <v>102</v>
      </c>
      <c r="E52" s="55" t="s">
        <v>80</v>
      </c>
      <c r="F52" s="55">
        <v>2</v>
      </c>
      <c r="G52" s="56">
        <v>5000</v>
      </c>
      <c r="H52" s="57" t="s">
        <v>63</v>
      </c>
      <c r="I52" s="58">
        <v>0</v>
      </c>
      <c r="J52" s="58">
        <f t="shared" ref="J52:J53" si="24">F52*G52*0.5</f>
        <v>5000</v>
      </c>
      <c r="K52" s="58">
        <f t="shared" ref="K52:K53" si="25">F52*G52*0.5</f>
        <v>5000</v>
      </c>
      <c r="L52" s="60">
        <f t="shared" si="14"/>
        <v>10000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155">
        <v>0</v>
      </c>
      <c r="S52" s="155">
        <v>0</v>
      </c>
      <c r="T52" s="155"/>
      <c r="U52" s="155"/>
      <c r="V52" s="31">
        <f>SUM(M52:U52)</f>
        <v>0</v>
      </c>
      <c r="W52" s="31">
        <f>L52-V52</f>
        <v>10000</v>
      </c>
    </row>
    <row r="53" spans="1:24" ht="35.1" customHeight="1" x14ac:dyDescent="0.25">
      <c r="A53" s="173"/>
      <c r="B53" s="173"/>
      <c r="C53" s="175"/>
      <c r="D53" s="54" t="s">
        <v>103</v>
      </c>
      <c r="E53" s="55" t="s">
        <v>81</v>
      </c>
      <c r="F53" s="55">
        <v>2</v>
      </c>
      <c r="G53" s="56">
        <v>4500</v>
      </c>
      <c r="H53" s="57" t="s">
        <v>63</v>
      </c>
      <c r="I53" s="58">
        <v>0</v>
      </c>
      <c r="J53" s="58">
        <f t="shared" si="24"/>
        <v>4500</v>
      </c>
      <c r="K53" s="58">
        <f t="shared" si="25"/>
        <v>4500</v>
      </c>
      <c r="L53" s="60">
        <f t="shared" si="14"/>
        <v>9000</v>
      </c>
      <c r="M53" s="32">
        <v>0</v>
      </c>
      <c r="N53" s="32">
        <v>0</v>
      </c>
      <c r="O53" s="32">
        <v>0</v>
      </c>
      <c r="P53" s="32">
        <v>0</v>
      </c>
      <c r="Q53" s="32">
        <v>0</v>
      </c>
      <c r="R53" s="155">
        <v>0</v>
      </c>
      <c r="S53" s="155">
        <v>0</v>
      </c>
      <c r="T53" s="155"/>
      <c r="U53" s="155"/>
      <c r="V53" s="31">
        <f>SUM(M53:U53)</f>
        <v>0</v>
      </c>
      <c r="W53" s="31">
        <f>L53-V53</f>
        <v>9000</v>
      </c>
      <c r="X53" s="144"/>
    </row>
    <row r="54" spans="1:24" x14ac:dyDescent="0.25">
      <c r="A54" s="173"/>
      <c r="B54" s="173"/>
      <c r="C54" s="66" t="s">
        <v>9</v>
      </c>
      <c r="D54" s="67"/>
      <c r="E54" s="68"/>
      <c r="F54" s="68"/>
      <c r="G54" s="68"/>
      <c r="H54" s="69"/>
      <c r="I54" s="82">
        <f>SUM(I52:I53)</f>
        <v>0</v>
      </c>
      <c r="J54" s="82">
        <f>SUM(J52:J53)</f>
        <v>9500</v>
      </c>
      <c r="K54" s="82">
        <f>SUM(K52:K53)</f>
        <v>9500</v>
      </c>
      <c r="L54" s="83">
        <f t="shared" si="14"/>
        <v>19000</v>
      </c>
      <c r="M54" s="33">
        <f t="shared" ref="M54" si="26">SUM(M52:M53)</f>
        <v>0</v>
      </c>
      <c r="N54" s="33">
        <f t="shared" ref="N54:W54" si="27">SUM(N52:N53)</f>
        <v>0</v>
      </c>
      <c r="O54" s="33">
        <f t="shared" si="27"/>
        <v>0</v>
      </c>
      <c r="P54" s="33">
        <f t="shared" si="27"/>
        <v>0</v>
      </c>
      <c r="Q54" s="33">
        <f t="shared" si="27"/>
        <v>0</v>
      </c>
      <c r="R54" s="33">
        <f t="shared" ref="R54:T54" si="28">SUM(R52:R53)</f>
        <v>0</v>
      </c>
      <c r="S54" s="33">
        <f t="shared" si="28"/>
        <v>0</v>
      </c>
      <c r="T54" s="33">
        <f t="shared" si="28"/>
        <v>0</v>
      </c>
      <c r="U54" s="33">
        <f t="shared" ref="U54" si="29">SUM(U52:U53)</f>
        <v>0</v>
      </c>
      <c r="V54" s="33">
        <f>SUM(V52:V53)</f>
        <v>0</v>
      </c>
      <c r="W54" s="33">
        <f t="shared" si="27"/>
        <v>19000</v>
      </c>
    </row>
    <row r="55" spans="1:24" ht="41.45" customHeight="1" x14ac:dyDescent="0.25">
      <c r="A55" s="173"/>
      <c r="B55" s="173"/>
      <c r="C55" s="170" t="s">
        <v>142</v>
      </c>
      <c r="D55" s="54" t="s">
        <v>10</v>
      </c>
      <c r="E55" s="55" t="s">
        <v>81</v>
      </c>
      <c r="F55" s="55">
        <v>5</v>
      </c>
      <c r="G55" s="56">
        <v>700</v>
      </c>
      <c r="H55" s="57" t="s">
        <v>63</v>
      </c>
      <c r="I55" s="58">
        <v>0</v>
      </c>
      <c r="J55" s="58">
        <f t="shared" ref="J55:J56" si="30">F55*G55</f>
        <v>3500</v>
      </c>
      <c r="K55" s="58">
        <v>0</v>
      </c>
      <c r="L55" s="60">
        <f t="shared" ref="L55:L61" si="31">SUM(I55,J55,K55)</f>
        <v>3500</v>
      </c>
      <c r="M55" s="32">
        <v>0</v>
      </c>
      <c r="N55" s="32">
        <v>0</v>
      </c>
      <c r="O55" s="32">
        <v>0</v>
      </c>
      <c r="P55" s="32">
        <v>0</v>
      </c>
      <c r="Q55" s="32">
        <v>0</v>
      </c>
      <c r="R55" s="155"/>
      <c r="S55" s="155">
        <v>0</v>
      </c>
      <c r="T55" s="155"/>
      <c r="U55" s="155">
        <v>3779.35</v>
      </c>
      <c r="V55" s="31">
        <f>SUM(M55:U55)</f>
        <v>3779.35</v>
      </c>
      <c r="W55" s="31">
        <f>L55-V55</f>
        <v>-279.34999999999991</v>
      </c>
    </row>
    <row r="56" spans="1:24" x14ac:dyDescent="0.25">
      <c r="A56" s="173"/>
      <c r="B56" s="173"/>
      <c r="C56" s="175"/>
      <c r="D56" s="54" t="s">
        <v>104</v>
      </c>
      <c r="E56" s="55" t="s">
        <v>81</v>
      </c>
      <c r="F56" s="55">
        <v>1</v>
      </c>
      <c r="G56" s="56">
        <v>1500</v>
      </c>
      <c r="H56" s="57" t="s">
        <v>63</v>
      </c>
      <c r="I56" s="58">
        <v>0</v>
      </c>
      <c r="J56" s="56">
        <f t="shared" si="30"/>
        <v>1500</v>
      </c>
      <c r="K56" s="58">
        <v>0</v>
      </c>
      <c r="L56" s="60">
        <f t="shared" si="31"/>
        <v>1500</v>
      </c>
      <c r="M56" s="32">
        <v>0</v>
      </c>
      <c r="N56" s="32">
        <v>0</v>
      </c>
      <c r="O56" s="32">
        <v>0</v>
      </c>
      <c r="P56" s="32">
        <v>0</v>
      </c>
      <c r="Q56" s="32">
        <v>0</v>
      </c>
      <c r="R56" s="155">
        <v>0</v>
      </c>
      <c r="S56" s="155">
        <v>0</v>
      </c>
      <c r="T56" s="155"/>
      <c r="U56" s="155"/>
      <c r="V56" s="31">
        <f>SUM(M56:U56)</f>
        <v>0</v>
      </c>
      <c r="W56" s="31">
        <f>L56-V56</f>
        <v>1500</v>
      </c>
    </row>
    <row r="57" spans="1:24" x14ac:dyDescent="0.25">
      <c r="A57" s="173"/>
      <c r="B57" s="173"/>
      <c r="C57" s="66" t="s">
        <v>11</v>
      </c>
      <c r="D57" s="67"/>
      <c r="E57" s="68"/>
      <c r="F57" s="68"/>
      <c r="G57" s="68"/>
      <c r="H57" s="69"/>
      <c r="I57" s="70">
        <f>SUM(I55:I56)</f>
        <v>0</v>
      </c>
      <c r="J57" s="70">
        <f>SUM(J55:J56)</f>
        <v>5000</v>
      </c>
      <c r="K57" s="70">
        <f>SUM(K55:K56)</f>
        <v>0</v>
      </c>
      <c r="L57" s="71">
        <f t="shared" si="31"/>
        <v>5000</v>
      </c>
      <c r="M57" s="33">
        <f t="shared" ref="M57" si="32">SUM(M55:M56)</f>
        <v>0</v>
      </c>
      <c r="N57" s="33">
        <f t="shared" ref="N57:V57" si="33">SUM(N55:N56)</f>
        <v>0</v>
      </c>
      <c r="O57" s="33">
        <f t="shared" si="33"/>
        <v>0</v>
      </c>
      <c r="P57" s="33">
        <f t="shared" si="33"/>
        <v>0</v>
      </c>
      <c r="Q57" s="33">
        <f>SUM(Q55:Q56)</f>
        <v>0</v>
      </c>
      <c r="R57" s="33">
        <f>SUM(R55:R56)</f>
        <v>0</v>
      </c>
      <c r="S57" s="33">
        <f>SUM(S55:S56)</f>
        <v>0</v>
      </c>
      <c r="T57" s="33">
        <f>SUM(T55:T56)</f>
        <v>0</v>
      </c>
      <c r="U57" s="33">
        <f>SUM(U55:U56)</f>
        <v>3779.35</v>
      </c>
      <c r="V57" s="33">
        <f t="shared" si="33"/>
        <v>3779.35</v>
      </c>
      <c r="W57" s="33">
        <f>SUM(W55:W56)</f>
        <v>1220.6500000000001</v>
      </c>
    </row>
    <row r="58" spans="1:24" ht="25.5" x14ac:dyDescent="0.25">
      <c r="A58" s="173"/>
      <c r="B58" s="173"/>
      <c r="C58" s="170" t="s">
        <v>143</v>
      </c>
      <c r="D58" s="54" t="s">
        <v>12</v>
      </c>
      <c r="E58" s="55" t="s">
        <v>81</v>
      </c>
      <c r="F58" s="55">
        <v>6</v>
      </c>
      <c r="G58" s="56">
        <v>700</v>
      </c>
      <c r="H58" s="57" t="s">
        <v>63</v>
      </c>
      <c r="I58" s="58">
        <v>0</v>
      </c>
      <c r="J58" s="58">
        <f t="shared" ref="J58" si="34">F58*G58</f>
        <v>4200</v>
      </c>
      <c r="K58" s="58">
        <v>0</v>
      </c>
      <c r="L58" s="60">
        <f t="shared" si="31"/>
        <v>4200</v>
      </c>
      <c r="M58" s="32">
        <v>0</v>
      </c>
      <c r="N58" s="32">
        <v>0</v>
      </c>
      <c r="O58" s="32">
        <v>0</v>
      </c>
      <c r="P58" s="32">
        <v>0</v>
      </c>
      <c r="Q58" s="32">
        <v>0</v>
      </c>
      <c r="R58" s="155">
        <v>3163.27</v>
      </c>
      <c r="S58" s="155">
        <v>0</v>
      </c>
      <c r="T58" s="155"/>
      <c r="U58" s="155"/>
      <c r="V58" s="31">
        <f>SUM(M58:U58)</f>
        <v>3163.27</v>
      </c>
      <c r="W58" s="31">
        <f>L58-V58</f>
        <v>1036.73</v>
      </c>
    </row>
    <row r="59" spans="1:24" ht="30.6" customHeight="1" x14ac:dyDescent="0.25">
      <c r="A59" s="173"/>
      <c r="B59" s="173"/>
      <c r="C59" s="171"/>
      <c r="D59" s="54" t="s">
        <v>13</v>
      </c>
      <c r="E59" s="55" t="s">
        <v>80</v>
      </c>
      <c r="F59" s="55">
        <v>6</v>
      </c>
      <c r="G59" s="56">
        <v>700</v>
      </c>
      <c r="H59" s="57" t="s">
        <v>63</v>
      </c>
      <c r="I59" s="58">
        <v>0</v>
      </c>
      <c r="J59" s="58">
        <f>F59*G59</f>
        <v>4200</v>
      </c>
      <c r="K59" s="58">
        <v>0</v>
      </c>
      <c r="L59" s="60">
        <f t="shared" si="31"/>
        <v>4200</v>
      </c>
      <c r="M59" s="32">
        <v>0</v>
      </c>
      <c r="N59" s="32">
        <v>0</v>
      </c>
      <c r="O59" s="32">
        <v>0</v>
      </c>
      <c r="P59" s="32">
        <v>0</v>
      </c>
      <c r="Q59" s="32">
        <v>0</v>
      </c>
      <c r="R59" s="155">
        <v>3329.06</v>
      </c>
      <c r="S59" s="155">
        <v>0</v>
      </c>
      <c r="T59" s="155"/>
      <c r="U59" s="155"/>
      <c r="V59" s="31">
        <f>SUM(M59:U59)</f>
        <v>3329.06</v>
      </c>
      <c r="W59" s="31">
        <f>L59-V59</f>
        <v>870.94</v>
      </c>
    </row>
    <row r="60" spans="1:24" x14ac:dyDescent="0.25">
      <c r="A60" s="173"/>
      <c r="B60" s="173"/>
      <c r="C60" s="171"/>
      <c r="D60" s="54" t="s">
        <v>14</v>
      </c>
      <c r="E60" s="55" t="s">
        <v>80</v>
      </c>
      <c r="F60" s="55">
        <v>6</v>
      </c>
      <c r="G60" s="56">
        <v>700</v>
      </c>
      <c r="H60" s="57" t="s">
        <v>63</v>
      </c>
      <c r="I60" s="58">
        <v>0</v>
      </c>
      <c r="J60" s="58">
        <v>0</v>
      </c>
      <c r="K60" s="58">
        <f>F60*G60</f>
        <v>4200</v>
      </c>
      <c r="L60" s="60">
        <f t="shared" si="31"/>
        <v>4200</v>
      </c>
      <c r="M60" s="32">
        <v>0</v>
      </c>
      <c r="N60" s="32">
        <v>0</v>
      </c>
      <c r="O60" s="32">
        <v>0</v>
      </c>
      <c r="P60" s="32">
        <v>0</v>
      </c>
      <c r="Q60" s="32">
        <v>0</v>
      </c>
      <c r="R60" s="155">
        <v>0</v>
      </c>
      <c r="S60" s="155">
        <v>1006.31</v>
      </c>
      <c r="T60" s="155"/>
      <c r="U60" s="155"/>
      <c r="V60" s="31">
        <f>SUM(M60:U60)</f>
        <v>1006.31</v>
      </c>
      <c r="W60" s="31">
        <f>L60-V60</f>
        <v>3193.69</v>
      </c>
    </row>
    <row r="61" spans="1:24" ht="33.6" customHeight="1" x14ac:dyDescent="0.25">
      <c r="A61" s="173"/>
      <c r="B61" s="173"/>
      <c r="C61" s="171"/>
      <c r="D61" s="54" t="s">
        <v>105</v>
      </c>
      <c r="E61" s="55" t="s">
        <v>81</v>
      </c>
      <c r="F61" s="55">
        <v>1</v>
      </c>
      <c r="G61" s="56">
        <v>3750</v>
      </c>
      <c r="H61" s="57" t="s">
        <v>63</v>
      </c>
      <c r="I61" s="58">
        <v>0</v>
      </c>
      <c r="J61" s="56">
        <v>0</v>
      </c>
      <c r="K61" s="56">
        <f>F61*G61</f>
        <v>3750</v>
      </c>
      <c r="L61" s="60">
        <f t="shared" si="31"/>
        <v>3750</v>
      </c>
      <c r="M61" s="32">
        <v>0</v>
      </c>
      <c r="N61" s="32">
        <v>0</v>
      </c>
      <c r="O61" s="32">
        <v>0</v>
      </c>
      <c r="P61" s="32">
        <v>0</v>
      </c>
      <c r="Q61" s="32">
        <v>0</v>
      </c>
      <c r="R61" s="155">
        <v>0</v>
      </c>
      <c r="S61" s="155">
        <v>0</v>
      </c>
      <c r="T61" s="155"/>
      <c r="U61" s="155">
        <v>538.03</v>
      </c>
      <c r="V61" s="31">
        <f>SUM(M61:U61)</f>
        <v>538.03</v>
      </c>
      <c r="W61" s="31">
        <f>L61-V61</f>
        <v>3211.9700000000003</v>
      </c>
    </row>
    <row r="62" spans="1:24" x14ac:dyDescent="0.25">
      <c r="A62" s="173"/>
      <c r="B62" s="173"/>
      <c r="C62" s="66" t="s">
        <v>15</v>
      </c>
      <c r="D62" s="67"/>
      <c r="E62" s="68"/>
      <c r="F62" s="68"/>
      <c r="G62" s="68"/>
      <c r="H62" s="69"/>
      <c r="I62" s="70">
        <f>SUM(I58:I61)</f>
        <v>0</v>
      </c>
      <c r="J62" s="70">
        <f>SUM(J58:J61)</f>
        <v>8400</v>
      </c>
      <c r="K62" s="70">
        <f>SUM(K58:K61)</f>
        <v>7950</v>
      </c>
      <c r="L62" s="71">
        <f>SUM(I62,J62,K62)</f>
        <v>16350</v>
      </c>
      <c r="M62" s="33">
        <f>SUM(M58:M61)</f>
        <v>0</v>
      </c>
      <c r="N62" s="33">
        <f>SUM(N58:N61)</f>
        <v>0</v>
      </c>
      <c r="O62" s="33">
        <f>SUM(O58:O61)</f>
        <v>0</v>
      </c>
      <c r="P62" s="33">
        <f>SUM(P60:P61)</f>
        <v>0</v>
      </c>
      <c r="Q62" s="33">
        <f>SUM(Q60:Q61)</f>
        <v>0</v>
      </c>
      <c r="R62" s="33">
        <f>SUM(R58:R61)</f>
        <v>6492.33</v>
      </c>
      <c r="S62" s="33">
        <f>SUM(S60:S61)</f>
        <v>1006.31</v>
      </c>
      <c r="T62" s="33">
        <f>SUM(T60:T61)</f>
        <v>0</v>
      </c>
      <c r="U62" s="33">
        <f>SUM(U60:U61)</f>
        <v>538.03</v>
      </c>
      <c r="V62" s="33">
        <f>SUM(V58:V61)</f>
        <v>8036.6699999999992</v>
      </c>
      <c r="W62" s="33">
        <f>SUM(W58:W61)</f>
        <v>8313.3300000000017</v>
      </c>
    </row>
    <row r="63" spans="1:24" x14ac:dyDescent="0.25">
      <c r="A63" s="173"/>
      <c r="B63" s="174"/>
      <c r="C63" s="78" t="s">
        <v>16</v>
      </c>
      <c r="D63" s="84"/>
      <c r="E63" s="85"/>
      <c r="F63" s="85"/>
      <c r="G63" s="85"/>
      <c r="H63" s="79"/>
      <c r="I63" s="80">
        <f>SUM(I54,I57,I62)</f>
        <v>0</v>
      </c>
      <c r="J63" s="80">
        <f>SUM(J54,J57,J62)</f>
        <v>22900</v>
      </c>
      <c r="K63" s="80">
        <f>SUM(K54,K57,K62)</f>
        <v>17450</v>
      </c>
      <c r="L63" s="81">
        <f>SUM(I63,J63,K63)</f>
        <v>40350</v>
      </c>
      <c r="M63" s="34">
        <f t="shared" ref="M63" si="35">M54+M57+M62</f>
        <v>0</v>
      </c>
      <c r="N63" s="34">
        <f t="shared" ref="N63:Q63" si="36">N54+N57+N62</f>
        <v>0</v>
      </c>
      <c r="O63" s="34">
        <f t="shared" si="36"/>
        <v>0</v>
      </c>
      <c r="P63" s="34">
        <f t="shared" si="36"/>
        <v>0</v>
      </c>
      <c r="Q63" s="34">
        <f t="shared" si="36"/>
        <v>0</v>
      </c>
      <c r="R63" s="34">
        <f>R54+R57+R62</f>
        <v>6492.33</v>
      </c>
      <c r="S63" s="34">
        <f t="shared" ref="S63:T63" si="37">S54+S57+S62</f>
        <v>1006.31</v>
      </c>
      <c r="T63" s="34">
        <f t="shared" si="37"/>
        <v>0</v>
      </c>
      <c r="U63" s="34">
        <f>U54+U57+U62</f>
        <v>4317.38</v>
      </c>
      <c r="V63" s="86">
        <f>V54+V57+V62</f>
        <v>11816.019999999999</v>
      </c>
      <c r="W63" s="86">
        <f>W54+W57+W62</f>
        <v>28533.980000000003</v>
      </c>
    </row>
    <row r="64" spans="1:24" x14ac:dyDescent="0.25">
      <c r="A64" s="211"/>
      <c r="B64" s="87"/>
      <c r="C64" s="88" t="s">
        <v>17</v>
      </c>
      <c r="D64" s="89"/>
      <c r="E64" s="90"/>
      <c r="F64" s="90"/>
      <c r="G64" s="90"/>
      <c r="H64" s="91"/>
      <c r="I64" s="92">
        <f>SUM(I51,I63)</f>
        <v>2250</v>
      </c>
      <c r="J64" s="92">
        <f>SUM(J51,J63)</f>
        <v>162100</v>
      </c>
      <c r="K64" s="92">
        <f>SUM(K51,K63)</f>
        <v>46150</v>
      </c>
      <c r="L64" s="93">
        <f>SUM(L51,L63)</f>
        <v>420885</v>
      </c>
      <c r="M64" s="36">
        <f t="shared" ref="M64" si="38">M51+M63</f>
        <v>0</v>
      </c>
      <c r="N64" s="36">
        <f t="shared" ref="N64:P64" si="39">N51+N63</f>
        <v>525</v>
      </c>
      <c r="O64" s="36">
        <f t="shared" si="39"/>
        <v>3860.7200000000003</v>
      </c>
      <c r="P64" s="36">
        <f t="shared" si="39"/>
        <v>3692.84</v>
      </c>
      <c r="Q64" s="36">
        <f t="shared" ref="Q64:W64" si="40">Q51+Q63</f>
        <v>89784.49</v>
      </c>
      <c r="R64" s="36">
        <f t="shared" si="40"/>
        <v>6492.33</v>
      </c>
      <c r="S64" s="36">
        <f t="shared" si="40"/>
        <v>27297.890000000003</v>
      </c>
      <c r="T64" s="36">
        <f t="shared" si="40"/>
        <v>6279.42</v>
      </c>
      <c r="U64" s="36">
        <f t="shared" si="40"/>
        <v>7258.99</v>
      </c>
      <c r="V64" s="94">
        <f t="shared" si="40"/>
        <v>145191.67999999999</v>
      </c>
      <c r="W64" s="94">
        <f t="shared" si="40"/>
        <v>275694.32</v>
      </c>
    </row>
    <row r="65" spans="1:23" s="23" customFormat="1" x14ac:dyDescent="0.25">
      <c r="A65" s="176" t="s">
        <v>144</v>
      </c>
      <c r="B65" s="172" t="s">
        <v>145</v>
      </c>
      <c r="C65" s="170" t="s">
        <v>146</v>
      </c>
      <c r="D65" s="47" t="s">
        <v>106</v>
      </c>
      <c r="E65" s="48" t="s">
        <v>81</v>
      </c>
      <c r="F65" s="48">
        <v>5</v>
      </c>
      <c r="G65" s="49">
        <v>450</v>
      </c>
      <c r="H65" s="50" t="s">
        <v>63</v>
      </c>
      <c r="I65" s="51">
        <f>(F65*G65)</f>
        <v>2250</v>
      </c>
      <c r="J65" s="51">
        <v>0</v>
      </c>
      <c r="K65" s="51">
        <v>0</v>
      </c>
      <c r="L65" s="60">
        <v>2480</v>
      </c>
      <c r="M65" s="31">
        <v>0</v>
      </c>
      <c r="N65" s="31">
        <v>0</v>
      </c>
      <c r="O65" s="31">
        <v>764.14</v>
      </c>
      <c r="P65" s="31">
        <v>0</v>
      </c>
      <c r="Q65" s="31">
        <v>875.27</v>
      </c>
      <c r="R65" s="154">
        <v>0</v>
      </c>
      <c r="S65" s="154">
        <v>840.91</v>
      </c>
      <c r="T65" s="154"/>
      <c r="U65" s="154"/>
      <c r="V65" s="31">
        <f>SUM(M65:U65)</f>
        <v>2480.3199999999997</v>
      </c>
      <c r="W65" s="31">
        <f t="shared" ref="W65:W72" si="41">L65-V65</f>
        <v>-0.31999999999970896</v>
      </c>
    </row>
    <row r="66" spans="1:23" ht="15" customHeight="1" x14ac:dyDescent="0.25">
      <c r="A66" s="173"/>
      <c r="B66" s="173"/>
      <c r="C66" s="171"/>
      <c r="D66" s="57" t="s">
        <v>24</v>
      </c>
      <c r="E66" s="61" t="s">
        <v>82</v>
      </c>
      <c r="F66" s="61">
        <v>1</v>
      </c>
      <c r="G66" s="62">
        <v>2000</v>
      </c>
      <c r="H66" s="57" t="s">
        <v>63</v>
      </c>
      <c r="I66" s="58">
        <v>0</v>
      </c>
      <c r="J66" s="58">
        <v>0</v>
      </c>
      <c r="K66" s="58">
        <f>F66*G66</f>
        <v>2000</v>
      </c>
      <c r="L66" s="60">
        <v>520</v>
      </c>
      <c r="M66" s="32">
        <v>0</v>
      </c>
      <c r="N66" s="32">
        <v>0</v>
      </c>
      <c r="O66" s="32">
        <v>0</v>
      </c>
      <c r="P66" s="32">
        <v>0</v>
      </c>
      <c r="Q66" s="32">
        <v>520</v>
      </c>
      <c r="R66" s="155">
        <v>0</v>
      </c>
      <c r="S66" s="155">
        <v>0</v>
      </c>
      <c r="T66" s="155"/>
      <c r="U66" s="155">
        <v>106.6</v>
      </c>
      <c r="V66" s="31">
        <f t="shared" ref="V66:V72" si="42">SUM(M66:U66)</f>
        <v>626.6</v>
      </c>
      <c r="W66" s="31">
        <f t="shared" si="41"/>
        <v>-106.60000000000002</v>
      </c>
    </row>
    <row r="67" spans="1:23" ht="21" customHeight="1" x14ac:dyDescent="0.25">
      <c r="A67" s="173"/>
      <c r="B67" s="173"/>
      <c r="C67" s="171"/>
      <c r="D67" s="57" t="s">
        <v>25</v>
      </c>
      <c r="E67" s="61" t="s">
        <v>80</v>
      </c>
      <c r="F67" s="61">
        <v>1</v>
      </c>
      <c r="G67" s="62">
        <v>3000</v>
      </c>
      <c r="H67" s="57" t="s">
        <v>63</v>
      </c>
      <c r="I67" s="58">
        <v>0</v>
      </c>
      <c r="J67" s="58">
        <v>0</v>
      </c>
      <c r="K67" s="58">
        <f t="shared" ref="K67:K68" si="43">F67*G67</f>
        <v>3000</v>
      </c>
      <c r="L67" s="60">
        <v>3295</v>
      </c>
      <c r="M67" s="32">
        <v>0</v>
      </c>
      <c r="N67" s="32">
        <v>0</v>
      </c>
      <c r="O67" s="32">
        <v>0</v>
      </c>
      <c r="P67" s="32">
        <v>0</v>
      </c>
      <c r="Q67" s="32">
        <v>0</v>
      </c>
      <c r="R67" s="155">
        <v>0</v>
      </c>
      <c r="S67" s="155">
        <v>3295.45</v>
      </c>
      <c r="T67" s="155"/>
      <c r="U67" s="155"/>
      <c r="V67" s="31">
        <f t="shared" si="42"/>
        <v>3295.45</v>
      </c>
      <c r="W67" s="31">
        <f t="shared" si="41"/>
        <v>-0.4499999999998181</v>
      </c>
    </row>
    <row r="68" spans="1:23" x14ac:dyDescent="0.25">
      <c r="A68" s="173"/>
      <c r="B68" s="173"/>
      <c r="C68" s="171"/>
      <c r="D68" s="57" t="s">
        <v>107</v>
      </c>
      <c r="E68" s="61" t="s">
        <v>81</v>
      </c>
      <c r="F68" s="61">
        <v>2</v>
      </c>
      <c r="G68" s="62">
        <v>750</v>
      </c>
      <c r="H68" s="57" t="s">
        <v>63</v>
      </c>
      <c r="I68" s="58">
        <v>0</v>
      </c>
      <c r="J68" s="58">
        <v>0</v>
      </c>
      <c r="K68" s="58">
        <f t="shared" si="43"/>
        <v>1500</v>
      </c>
      <c r="L68" s="60">
        <f t="shared" ref="L68:L70" si="44">SUM(I68,J68,K68)</f>
        <v>1500</v>
      </c>
      <c r="M68" s="32">
        <v>0</v>
      </c>
      <c r="N68" s="32">
        <v>0</v>
      </c>
      <c r="O68" s="32">
        <v>0</v>
      </c>
      <c r="P68" s="32">
        <v>0</v>
      </c>
      <c r="Q68" s="32">
        <v>0</v>
      </c>
      <c r="R68" s="155">
        <v>0</v>
      </c>
      <c r="S68" s="155">
        <v>0</v>
      </c>
      <c r="T68" s="155"/>
      <c r="U68" s="155"/>
      <c r="V68" s="31">
        <f t="shared" si="42"/>
        <v>0</v>
      </c>
      <c r="W68" s="31">
        <f t="shared" si="41"/>
        <v>1500</v>
      </c>
    </row>
    <row r="69" spans="1:23" ht="28.5" customHeight="1" x14ac:dyDescent="0.25">
      <c r="A69" s="173"/>
      <c r="B69" s="173"/>
      <c r="C69" s="171"/>
      <c r="D69" s="57" t="s">
        <v>114</v>
      </c>
      <c r="E69" s="61" t="s">
        <v>81</v>
      </c>
      <c r="F69" s="61">
        <v>10</v>
      </c>
      <c r="G69" s="62">
        <v>450</v>
      </c>
      <c r="H69" s="57" t="s">
        <v>63</v>
      </c>
      <c r="I69" s="58">
        <v>0</v>
      </c>
      <c r="J69" s="58">
        <v>0</v>
      </c>
      <c r="K69" s="58">
        <f>F69*G69</f>
        <v>4500</v>
      </c>
      <c r="L69" s="60">
        <v>6400</v>
      </c>
      <c r="M69" s="32">
        <v>0</v>
      </c>
      <c r="N69" s="32">
        <v>0</v>
      </c>
      <c r="O69" s="32">
        <v>0</v>
      </c>
      <c r="P69" s="32">
        <v>0</v>
      </c>
      <c r="Q69" s="32">
        <v>0</v>
      </c>
      <c r="R69" s="155">
        <v>0</v>
      </c>
      <c r="S69" s="155">
        <v>0</v>
      </c>
      <c r="T69" s="155"/>
      <c r="U69" s="155">
        <v>6455.4</v>
      </c>
      <c r="V69" s="31">
        <f t="shared" si="42"/>
        <v>6455.4</v>
      </c>
      <c r="W69" s="31">
        <f t="shared" si="41"/>
        <v>-55.399999999999636</v>
      </c>
    </row>
    <row r="70" spans="1:23" ht="25.5" x14ac:dyDescent="0.25">
      <c r="A70" s="173"/>
      <c r="B70" s="173"/>
      <c r="C70" s="171"/>
      <c r="D70" s="57" t="s">
        <v>121</v>
      </c>
      <c r="E70" s="61" t="s">
        <v>86</v>
      </c>
      <c r="F70" s="61">
        <v>5</v>
      </c>
      <c r="G70" s="62">
        <v>3000</v>
      </c>
      <c r="H70" s="57" t="s">
        <v>52</v>
      </c>
      <c r="I70" s="58">
        <v>0</v>
      </c>
      <c r="J70" s="58">
        <f>F70*G70*0.4</f>
        <v>6000</v>
      </c>
      <c r="K70" s="58">
        <f>F70*G70*0.6</f>
        <v>9000</v>
      </c>
      <c r="L70" s="60">
        <f t="shared" si="44"/>
        <v>15000</v>
      </c>
      <c r="M70" s="32">
        <v>0</v>
      </c>
      <c r="N70" s="32">
        <v>0</v>
      </c>
      <c r="O70" s="32">
        <v>0</v>
      </c>
      <c r="P70" s="32">
        <v>1920.93</v>
      </c>
      <c r="Q70" s="32">
        <v>300.38</v>
      </c>
      <c r="R70" s="155">
        <v>0</v>
      </c>
      <c r="S70" s="155">
        <v>0</v>
      </c>
      <c r="T70" s="155">
        <v>3241.89</v>
      </c>
      <c r="U70" s="155">
        <v>197.9</v>
      </c>
      <c r="V70" s="31">
        <f>SUM(M70:U70)</f>
        <v>5661.0999999999995</v>
      </c>
      <c r="W70" s="31">
        <f t="shared" si="41"/>
        <v>9338.9000000000015</v>
      </c>
    </row>
    <row r="71" spans="1:23" ht="25.5" x14ac:dyDescent="0.25">
      <c r="A71" s="173"/>
      <c r="B71" s="173"/>
      <c r="C71" s="171"/>
      <c r="D71" s="57" t="s">
        <v>122</v>
      </c>
      <c r="E71" s="61" t="s">
        <v>86</v>
      </c>
      <c r="F71" s="61">
        <v>2</v>
      </c>
      <c r="G71" s="62">
        <v>1500</v>
      </c>
      <c r="H71" s="57" t="s">
        <v>52</v>
      </c>
      <c r="I71" s="58"/>
      <c r="J71" s="58">
        <f>F71*G71*0.5</f>
        <v>1500</v>
      </c>
      <c r="K71" s="58">
        <f>F71*G71*0.5</f>
        <v>1500</v>
      </c>
      <c r="L71" s="60">
        <f>SUM(I71,J71,K71)</f>
        <v>3000</v>
      </c>
      <c r="M71" s="32">
        <v>0</v>
      </c>
      <c r="N71" s="32">
        <v>0</v>
      </c>
      <c r="O71" s="32">
        <v>0</v>
      </c>
      <c r="P71" s="32">
        <v>0</v>
      </c>
      <c r="Q71" s="32">
        <v>0</v>
      </c>
      <c r="R71" s="155">
        <v>0</v>
      </c>
      <c r="S71" s="155">
        <v>0</v>
      </c>
      <c r="T71" s="155"/>
      <c r="U71" s="155"/>
      <c r="V71" s="31">
        <f t="shared" si="42"/>
        <v>0</v>
      </c>
      <c r="W71" s="31">
        <f t="shared" si="41"/>
        <v>3000</v>
      </c>
    </row>
    <row r="72" spans="1:23" ht="25.5" x14ac:dyDescent="0.25">
      <c r="A72" s="173"/>
      <c r="B72" s="173"/>
      <c r="C72" s="175"/>
      <c r="D72" s="57" t="s">
        <v>123</v>
      </c>
      <c r="E72" s="61" t="s">
        <v>86</v>
      </c>
      <c r="F72" s="61">
        <v>3</v>
      </c>
      <c r="G72" s="62">
        <v>3000</v>
      </c>
      <c r="H72" s="57" t="s">
        <v>52</v>
      </c>
      <c r="I72" s="58">
        <v>0</v>
      </c>
      <c r="J72" s="58">
        <v>0</v>
      </c>
      <c r="K72" s="58">
        <f>+F72*G72</f>
        <v>9000</v>
      </c>
      <c r="L72" s="60">
        <f>SUM(I72,J72,K72)</f>
        <v>9000</v>
      </c>
      <c r="M72" s="32">
        <v>0</v>
      </c>
      <c r="N72" s="32">
        <v>0</v>
      </c>
      <c r="O72" s="32">
        <v>0</v>
      </c>
      <c r="P72" s="32">
        <v>0</v>
      </c>
      <c r="Q72" s="32">
        <v>1636.71</v>
      </c>
      <c r="R72" s="155">
        <v>0</v>
      </c>
      <c r="S72" s="155">
        <v>3521.14</v>
      </c>
      <c r="T72" s="155"/>
      <c r="U72" s="155"/>
      <c r="V72" s="31">
        <f t="shared" si="42"/>
        <v>5157.8500000000004</v>
      </c>
      <c r="W72" s="31">
        <f t="shared" si="41"/>
        <v>3842.1499999999996</v>
      </c>
    </row>
    <row r="73" spans="1:23" s="7" customFormat="1" x14ac:dyDescent="0.25">
      <c r="A73" s="173"/>
      <c r="B73" s="173"/>
      <c r="C73" s="66" t="s">
        <v>20</v>
      </c>
      <c r="D73" s="67"/>
      <c r="E73" s="95"/>
      <c r="F73" s="95"/>
      <c r="G73" s="82"/>
      <c r="H73" s="69"/>
      <c r="I73" s="70">
        <f>SUM(I65:I72)</f>
        <v>2250</v>
      </c>
      <c r="J73" s="70">
        <f t="shared" ref="J73:K73" si="45">SUM(J65:J72)</f>
        <v>7500</v>
      </c>
      <c r="K73" s="70">
        <f t="shared" si="45"/>
        <v>30500</v>
      </c>
      <c r="L73" s="71">
        <f>SUM(L65:L72)</f>
        <v>41195</v>
      </c>
      <c r="M73" s="33">
        <f t="shared" ref="M73" si="46">SUM(M65:M72)</f>
        <v>0</v>
      </c>
      <c r="N73" s="33">
        <f t="shared" ref="N73:P73" si="47">SUM(N65:N72)</f>
        <v>0</v>
      </c>
      <c r="O73" s="33">
        <f t="shared" si="47"/>
        <v>764.14</v>
      </c>
      <c r="P73" s="33">
        <f t="shared" si="47"/>
        <v>1920.93</v>
      </c>
      <c r="Q73" s="33">
        <f t="shared" ref="Q73:W73" si="48">SUM(Q65:Q72)</f>
        <v>3332.36</v>
      </c>
      <c r="R73" s="33">
        <f t="shared" si="48"/>
        <v>0</v>
      </c>
      <c r="S73" s="33">
        <f t="shared" si="48"/>
        <v>7657.5</v>
      </c>
      <c r="T73" s="33">
        <f t="shared" si="48"/>
        <v>3241.89</v>
      </c>
      <c r="U73" s="33">
        <f t="shared" si="48"/>
        <v>6759.9</v>
      </c>
      <c r="V73" s="33">
        <f t="shared" si="48"/>
        <v>23676.720000000001</v>
      </c>
      <c r="W73" s="33">
        <f t="shared" si="48"/>
        <v>17518.280000000002</v>
      </c>
    </row>
    <row r="74" spans="1:23" s="23" customFormat="1" ht="31.5" customHeight="1" x14ac:dyDescent="0.25">
      <c r="A74" s="173"/>
      <c r="B74" s="173"/>
      <c r="C74" s="170" t="s">
        <v>147</v>
      </c>
      <c r="D74" s="72" t="s">
        <v>116</v>
      </c>
      <c r="E74" s="73" t="s">
        <v>81</v>
      </c>
      <c r="F74" s="73">
        <v>5</v>
      </c>
      <c r="G74" s="74">
        <v>400</v>
      </c>
      <c r="H74" s="50" t="s">
        <v>63</v>
      </c>
      <c r="I74" s="51">
        <v>0</v>
      </c>
      <c r="J74" s="51">
        <f>(F74*G74)</f>
        <v>2000</v>
      </c>
      <c r="K74" s="51">
        <v>0</v>
      </c>
      <c r="L74" s="53">
        <v>684</v>
      </c>
      <c r="M74" s="31">
        <v>0</v>
      </c>
      <c r="N74" s="31">
        <v>0</v>
      </c>
      <c r="O74" s="31">
        <v>246.78</v>
      </c>
      <c r="P74" s="31">
        <v>0</v>
      </c>
      <c r="Q74" s="31">
        <v>437.64</v>
      </c>
      <c r="R74" s="154">
        <v>0</v>
      </c>
      <c r="S74" s="154">
        <v>0</v>
      </c>
      <c r="T74" s="154"/>
      <c r="U74" s="154"/>
      <c r="V74" s="31">
        <f>SUM(M74:U74)</f>
        <v>684.42</v>
      </c>
      <c r="W74" s="31">
        <f>L74-V74</f>
        <v>-0.41999999999995907</v>
      </c>
    </row>
    <row r="75" spans="1:23" x14ac:dyDescent="0.25">
      <c r="A75" s="173"/>
      <c r="B75" s="173"/>
      <c r="C75" s="171"/>
      <c r="D75" s="57" t="s">
        <v>18</v>
      </c>
      <c r="E75" s="61" t="s">
        <v>79</v>
      </c>
      <c r="F75" s="61">
        <v>1</v>
      </c>
      <c r="G75" s="62">
        <v>1000</v>
      </c>
      <c r="H75" s="57" t="s">
        <v>63</v>
      </c>
      <c r="I75" s="58">
        <v>0</v>
      </c>
      <c r="J75" s="58">
        <f t="shared" ref="J75:J76" si="49">(F75*G75)</f>
        <v>1000</v>
      </c>
      <c r="K75" s="58">
        <v>0</v>
      </c>
      <c r="L75" s="60">
        <v>1094</v>
      </c>
      <c r="M75" s="32">
        <v>0</v>
      </c>
      <c r="N75" s="32">
        <v>0</v>
      </c>
      <c r="O75" s="32">
        <v>0</v>
      </c>
      <c r="P75" s="32">
        <v>0</v>
      </c>
      <c r="Q75" s="32">
        <v>1094.0899999999999</v>
      </c>
      <c r="R75" s="155">
        <v>0</v>
      </c>
      <c r="S75" s="155">
        <v>0</v>
      </c>
      <c r="T75" s="155"/>
      <c r="U75" s="155"/>
      <c r="V75" s="31">
        <f>SUM(M75:U75)</f>
        <v>1094.0899999999999</v>
      </c>
      <c r="W75" s="31">
        <f>L75-V75</f>
        <v>-8.9999999999918145E-2</v>
      </c>
    </row>
    <row r="76" spans="1:23" x14ac:dyDescent="0.25">
      <c r="A76" s="173"/>
      <c r="B76" s="173"/>
      <c r="C76" s="175"/>
      <c r="D76" s="57" t="s">
        <v>19</v>
      </c>
      <c r="E76" s="61" t="s">
        <v>79</v>
      </c>
      <c r="F76" s="61">
        <v>1</v>
      </c>
      <c r="G76" s="62">
        <v>15000</v>
      </c>
      <c r="H76" s="57" t="s">
        <v>63</v>
      </c>
      <c r="I76" s="58">
        <v>0</v>
      </c>
      <c r="J76" s="58">
        <f t="shared" si="49"/>
        <v>15000</v>
      </c>
      <c r="K76" s="58">
        <v>0</v>
      </c>
      <c r="L76" s="60">
        <v>15991</v>
      </c>
      <c r="M76" s="32">
        <v>0</v>
      </c>
      <c r="N76" s="32">
        <v>0</v>
      </c>
      <c r="O76" s="32">
        <v>0</v>
      </c>
      <c r="P76" s="32">
        <v>0</v>
      </c>
      <c r="Q76" s="32">
        <v>0</v>
      </c>
      <c r="R76" s="155">
        <v>16165.58</v>
      </c>
      <c r="S76" s="155">
        <v>-174.2</v>
      </c>
      <c r="T76" s="155"/>
      <c r="U76" s="155"/>
      <c r="V76" s="31">
        <f>SUM(M76:U76)</f>
        <v>15991.38</v>
      </c>
      <c r="W76" s="31">
        <f>L76-V76</f>
        <v>-0.37999999999919964</v>
      </c>
    </row>
    <row r="77" spans="1:23" s="7" customFormat="1" x14ac:dyDescent="0.25">
      <c r="A77" s="173"/>
      <c r="B77" s="173"/>
      <c r="C77" s="66" t="s">
        <v>23</v>
      </c>
      <c r="D77" s="67"/>
      <c r="E77" s="95"/>
      <c r="F77" s="95"/>
      <c r="G77" s="82"/>
      <c r="H77" s="69"/>
      <c r="I77" s="70">
        <f>SUM(I74:I76)</f>
        <v>0</v>
      </c>
      <c r="J77" s="70">
        <f>SUM(J74:J76)</f>
        <v>18000</v>
      </c>
      <c r="K77" s="70">
        <f>SUM(K74:K76)</f>
        <v>0</v>
      </c>
      <c r="L77" s="71">
        <v>17770</v>
      </c>
      <c r="M77" s="33">
        <f t="shared" ref="M77" si="50">SUM(M74:M76)</f>
        <v>0</v>
      </c>
      <c r="N77" s="33">
        <f t="shared" ref="N77:V77" si="51">SUM(N74:N76)</f>
        <v>0</v>
      </c>
      <c r="O77" s="33">
        <f t="shared" si="51"/>
        <v>246.78</v>
      </c>
      <c r="P77" s="33">
        <f t="shared" si="51"/>
        <v>0</v>
      </c>
      <c r="Q77" s="33">
        <f t="shared" si="51"/>
        <v>1531.73</v>
      </c>
      <c r="R77" s="33">
        <f t="shared" ref="R77:T77" si="52">SUM(R74:R76)</f>
        <v>16165.58</v>
      </c>
      <c r="S77" s="33">
        <f t="shared" si="52"/>
        <v>-174.2</v>
      </c>
      <c r="T77" s="33">
        <f t="shared" si="52"/>
        <v>0</v>
      </c>
      <c r="U77" s="33">
        <f t="shared" ref="U77" si="53">SUM(U74:U76)</f>
        <v>0</v>
      </c>
      <c r="V77" s="33">
        <f t="shared" si="51"/>
        <v>17769.89</v>
      </c>
      <c r="W77" s="33">
        <v>0</v>
      </c>
    </row>
    <row r="78" spans="1:23" s="23" customFormat="1" ht="33.6" customHeight="1" x14ac:dyDescent="0.25">
      <c r="A78" s="173"/>
      <c r="B78" s="173"/>
      <c r="C78" s="170" t="s">
        <v>148</v>
      </c>
      <c r="D78" s="72" t="s">
        <v>116</v>
      </c>
      <c r="E78" s="73" t="s">
        <v>81</v>
      </c>
      <c r="F78" s="73">
        <v>5</v>
      </c>
      <c r="G78" s="74">
        <v>400</v>
      </c>
      <c r="H78" s="50" t="s">
        <v>63</v>
      </c>
      <c r="I78" s="51">
        <v>0</v>
      </c>
      <c r="J78" s="51">
        <f>(F78*G78)</f>
        <v>2000</v>
      </c>
      <c r="K78" s="51">
        <v>0</v>
      </c>
      <c r="L78" s="53">
        <v>684</v>
      </c>
      <c r="M78" s="31">
        <v>0</v>
      </c>
      <c r="N78" s="31">
        <v>0</v>
      </c>
      <c r="O78" s="31">
        <v>246.78</v>
      </c>
      <c r="P78" s="31">
        <v>0</v>
      </c>
      <c r="Q78" s="31">
        <v>437.64</v>
      </c>
      <c r="R78" s="154">
        <v>0</v>
      </c>
      <c r="S78" s="154">
        <v>0</v>
      </c>
      <c r="T78" s="154"/>
      <c r="U78" s="154"/>
      <c r="V78" s="31">
        <f>SUM(M78:U78)</f>
        <v>684.42</v>
      </c>
      <c r="W78" s="31">
        <f>L78-V78</f>
        <v>-0.41999999999995907</v>
      </c>
    </row>
    <row r="79" spans="1:23" ht="14.65" customHeight="1" x14ac:dyDescent="0.25">
      <c r="A79" s="173"/>
      <c r="B79" s="173"/>
      <c r="C79" s="171"/>
      <c r="D79" s="57" t="s">
        <v>21</v>
      </c>
      <c r="E79" s="61" t="s">
        <v>82</v>
      </c>
      <c r="F79" s="61">
        <v>1</v>
      </c>
      <c r="G79" s="62">
        <v>15000</v>
      </c>
      <c r="H79" s="57" t="s">
        <v>63</v>
      </c>
      <c r="I79" s="58">
        <v>0</v>
      </c>
      <c r="J79" s="58">
        <v>0</v>
      </c>
      <c r="K79" s="58">
        <f>F79*G79</f>
        <v>15000</v>
      </c>
      <c r="L79" s="60">
        <v>14436</v>
      </c>
      <c r="M79" s="32">
        <v>0</v>
      </c>
      <c r="N79" s="32">
        <v>0</v>
      </c>
      <c r="O79" s="32">
        <v>0</v>
      </c>
      <c r="P79" s="32">
        <v>0</v>
      </c>
      <c r="Q79" s="32">
        <v>14435.82</v>
      </c>
      <c r="R79" s="155">
        <v>0</v>
      </c>
      <c r="S79" s="155">
        <v>0</v>
      </c>
      <c r="T79" s="155"/>
      <c r="U79" s="155"/>
      <c r="V79" s="31">
        <f t="shared" ref="V79" si="54">SUM(M79:U79)</f>
        <v>14435.82</v>
      </c>
      <c r="W79" s="31">
        <f>L79-V79</f>
        <v>0.18000000000029104</v>
      </c>
    </row>
    <row r="80" spans="1:23" x14ac:dyDescent="0.25">
      <c r="A80" s="173"/>
      <c r="B80" s="173"/>
      <c r="C80" s="171"/>
      <c r="D80" s="57" t="s">
        <v>22</v>
      </c>
      <c r="E80" s="61" t="s">
        <v>82</v>
      </c>
      <c r="F80" s="61">
        <v>1</v>
      </c>
      <c r="G80" s="62">
        <v>5000</v>
      </c>
      <c r="H80" s="57" t="s">
        <v>63</v>
      </c>
      <c r="I80" s="58">
        <v>0</v>
      </c>
      <c r="J80" s="58">
        <v>0</v>
      </c>
      <c r="K80" s="58">
        <f>F80*G80</f>
        <v>5000</v>
      </c>
      <c r="L80" s="60">
        <v>16333</v>
      </c>
      <c r="M80" s="32">
        <v>0</v>
      </c>
      <c r="N80" s="32">
        <v>0</v>
      </c>
      <c r="O80" s="32">
        <v>0</v>
      </c>
      <c r="P80" s="32">
        <v>0</v>
      </c>
      <c r="Q80" s="32">
        <v>7026.86</v>
      </c>
      <c r="R80" s="155">
        <v>0</v>
      </c>
      <c r="S80" s="155">
        <v>0</v>
      </c>
      <c r="T80" s="155"/>
      <c r="U80" s="155">
        <v>1058.31</v>
      </c>
      <c r="V80" s="31">
        <f>SUM(M80:U80)</f>
        <v>8085.17</v>
      </c>
      <c r="W80" s="31">
        <f>L80-V80</f>
        <v>8247.83</v>
      </c>
    </row>
    <row r="81" spans="1:23" ht="15.75" customHeight="1" x14ac:dyDescent="0.25">
      <c r="A81" s="173"/>
      <c r="B81" s="173"/>
      <c r="C81" s="66" t="s">
        <v>26</v>
      </c>
      <c r="D81" s="67"/>
      <c r="E81" s="68"/>
      <c r="F81" s="68"/>
      <c r="G81" s="68"/>
      <c r="H81" s="69"/>
      <c r="I81" s="70">
        <f>SUM(I78:I80)</f>
        <v>0</v>
      </c>
      <c r="J81" s="70">
        <f>SUM(J78:J80)</f>
        <v>2000</v>
      </c>
      <c r="K81" s="70">
        <f>SUM(K78:K80)</f>
        <v>20000</v>
      </c>
      <c r="L81" s="71">
        <f>SUM(L78:L80)</f>
        <v>31453</v>
      </c>
      <c r="M81" s="35">
        <f t="shared" ref="M81" si="55">SUM(M78:M80)</f>
        <v>0</v>
      </c>
      <c r="N81" s="35">
        <f t="shared" ref="N81:W81" si="56">SUM(N78:N80)</f>
        <v>0</v>
      </c>
      <c r="O81" s="35">
        <f t="shared" si="56"/>
        <v>246.78</v>
      </c>
      <c r="P81" s="35">
        <f t="shared" si="56"/>
        <v>0</v>
      </c>
      <c r="Q81" s="35">
        <f t="shared" ref="Q81:V81" si="57">SUM(Q78:Q80)</f>
        <v>21900.32</v>
      </c>
      <c r="R81" s="35">
        <f t="shared" si="57"/>
        <v>0</v>
      </c>
      <c r="S81" s="35">
        <f t="shared" si="57"/>
        <v>0</v>
      </c>
      <c r="T81" s="35">
        <f t="shared" si="57"/>
        <v>0</v>
      </c>
      <c r="U81" s="35">
        <f t="shared" si="57"/>
        <v>1058.31</v>
      </c>
      <c r="V81" s="35">
        <f t="shared" si="57"/>
        <v>23205.41</v>
      </c>
      <c r="W81" s="35">
        <f t="shared" si="56"/>
        <v>8247.59</v>
      </c>
    </row>
    <row r="82" spans="1:23" s="7" customFormat="1" x14ac:dyDescent="0.25">
      <c r="A82" s="173"/>
      <c r="B82" s="173"/>
      <c r="C82" s="78" t="s">
        <v>27</v>
      </c>
      <c r="D82" s="78"/>
      <c r="E82" s="79"/>
      <c r="F82" s="79"/>
      <c r="G82" s="79"/>
      <c r="H82" s="79"/>
      <c r="I82" s="80">
        <f>SUM(I73,I77,I81)</f>
        <v>2250</v>
      </c>
      <c r="J82" s="80">
        <f>SUM(J73,J77,J81)</f>
        <v>27500</v>
      </c>
      <c r="K82" s="80">
        <f>SUM(K73,K77,K81)</f>
        <v>50500</v>
      </c>
      <c r="L82" s="81">
        <f>SUM(L73,L77,L81)</f>
        <v>90418</v>
      </c>
      <c r="M82" s="34">
        <f t="shared" ref="M82" si="58">M73+M77+M81</f>
        <v>0</v>
      </c>
      <c r="N82" s="34">
        <f t="shared" ref="N82:P82" si="59">N73+N77+N81</f>
        <v>0</v>
      </c>
      <c r="O82" s="34">
        <f t="shared" si="59"/>
        <v>1257.7</v>
      </c>
      <c r="P82" s="34">
        <f t="shared" si="59"/>
        <v>1920.93</v>
      </c>
      <c r="Q82" s="34">
        <f t="shared" ref="Q82:W82" si="60">Q73+Q77+Q81</f>
        <v>26764.41</v>
      </c>
      <c r="R82" s="34">
        <f t="shared" si="60"/>
        <v>16165.58</v>
      </c>
      <c r="S82" s="34">
        <f t="shared" si="60"/>
        <v>7483.3</v>
      </c>
      <c r="T82" s="34">
        <f t="shared" si="60"/>
        <v>3241.89</v>
      </c>
      <c r="U82" s="34">
        <f t="shared" si="60"/>
        <v>7818.2099999999991</v>
      </c>
      <c r="V82" s="34">
        <f t="shared" si="60"/>
        <v>64652.020000000004</v>
      </c>
      <c r="W82" s="34">
        <f t="shared" si="60"/>
        <v>25765.870000000003</v>
      </c>
    </row>
    <row r="83" spans="1:23" x14ac:dyDescent="0.25">
      <c r="A83" s="174"/>
      <c r="B83" s="174"/>
      <c r="C83" s="88" t="s">
        <v>28</v>
      </c>
      <c r="D83" s="89"/>
      <c r="E83" s="90"/>
      <c r="F83" s="90"/>
      <c r="G83" s="90"/>
      <c r="H83" s="91"/>
      <c r="I83" s="92">
        <f>SUM(I82)</f>
        <v>2250</v>
      </c>
      <c r="J83" s="92">
        <f>SUM(J82)</f>
        <v>27500</v>
      </c>
      <c r="K83" s="92">
        <f>SUM(K82)</f>
        <v>50500</v>
      </c>
      <c r="L83" s="93">
        <f>L82</f>
        <v>90418</v>
      </c>
      <c r="M83" s="36">
        <f t="shared" ref="M83" si="61">M82</f>
        <v>0</v>
      </c>
      <c r="N83" s="36">
        <f t="shared" ref="N83:W83" si="62">N82</f>
        <v>0</v>
      </c>
      <c r="O83" s="36">
        <f t="shared" si="62"/>
        <v>1257.7</v>
      </c>
      <c r="P83" s="36">
        <f t="shared" si="62"/>
        <v>1920.93</v>
      </c>
      <c r="Q83" s="36">
        <f t="shared" ref="Q83:V83" si="63">Q82</f>
        <v>26764.41</v>
      </c>
      <c r="R83" s="36">
        <f t="shared" si="63"/>
        <v>16165.58</v>
      </c>
      <c r="S83" s="36">
        <f t="shared" si="63"/>
        <v>7483.3</v>
      </c>
      <c r="T83" s="36">
        <f t="shared" si="63"/>
        <v>3241.89</v>
      </c>
      <c r="U83" s="36">
        <f t="shared" si="63"/>
        <v>7818.2099999999991</v>
      </c>
      <c r="V83" s="94">
        <f t="shared" si="63"/>
        <v>64652.020000000004</v>
      </c>
      <c r="W83" s="94">
        <f t="shared" si="62"/>
        <v>25765.870000000003</v>
      </c>
    </row>
    <row r="84" spans="1:23" s="23" customFormat="1" x14ac:dyDescent="0.25">
      <c r="A84" s="172" t="s">
        <v>92</v>
      </c>
      <c r="B84" s="172" t="s">
        <v>151</v>
      </c>
      <c r="C84" s="170" t="s">
        <v>149</v>
      </c>
      <c r="D84" s="47" t="s">
        <v>106</v>
      </c>
      <c r="E84" s="48" t="s">
        <v>81</v>
      </c>
      <c r="F84" s="48">
        <v>5</v>
      </c>
      <c r="G84" s="49">
        <v>450</v>
      </c>
      <c r="H84" s="50" t="s">
        <v>63</v>
      </c>
      <c r="I84" s="51">
        <f>(F84*G84)</f>
        <v>2250</v>
      </c>
      <c r="J84" s="51">
        <v>0</v>
      </c>
      <c r="K84" s="51">
        <v>0</v>
      </c>
      <c r="L84" s="60">
        <v>2210</v>
      </c>
      <c r="M84" s="31">
        <v>0</v>
      </c>
      <c r="N84" s="31">
        <v>0</v>
      </c>
      <c r="O84" s="31">
        <v>493.56</v>
      </c>
      <c r="P84" s="31">
        <v>0</v>
      </c>
      <c r="Q84" s="31">
        <v>875.27</v>
      </c>
      <c r="R84" s="154">
        <v>0</v>
      </c>
      <c r="S84" s="154">
        <v>840.91</v>
      </c>
      <c r="T84" s="154"/>
      <c r="U84" s="154"/>
      <c r="V84" s="31">
        <f>SUM(M84:U84)</f>
        <v>2209.7399999999998</v>
      </c>
      <c r="W84" s="31">
        <f>L84-V84</f>
        <v>0.26000000000021828</v>
      </c>
    </row>
    <row r="85" spans="1:23" x14ac:dyDescent="0.25">
      <c r="A85" s="173"/>
      <c r="B85" s="173"/>
      <c r="C85" s="171"/>
      <c r="D85" s="54" t="s">
        <v>34</v>
      </c>
      <c r="E85" s="55" t="s">
        <v>81</v>
      </c>
      <c r="F85" s="55">
        <v>9</v>
      </c>
      <c r="G85" s="56">
        <v>700</v>
      </c>
      <c r="H85" s="57" t="s">
        <v>63</v>
      </c>
      <c r="I85" s="58">
        <v>0</v>
      </c>
      <c r="J85" s="58">
        <v>0</v>
      </c>
      <c r="K85" s="58">
        <f>F85*G85</f>
        <v>6300</v>
      </c>
      <c r="L85" s="60">
        <f t="shared" ref="L85" si="64">SUM(I85,J85,K85)</f>
        <v>6300</v>
      </c>
      <c r="M85" s="32">
        <v>0</v>
      </c>
      <c r="N85" s="32">
        <v>0</v>
      </c>
      <c r="O85" s="32">
        <v>0</v>
      </c>
      <c r="P85" s="32">
        <v>0</v>
      </c>
      <c r="Q85" s="32">
        <v>0</v>
      </c>
      <c r="R85" s="155">
        <v>0</v>
      </c>
      <c r="S85" s="155">
        <v>0</v>
      </c>
      <c r="T85" s="155"/>
      <c r="U85" s="155">
        <v>6455.4</v>
      </c>
      <c r="V85" s="31">
        <f>SUM(M85:U85)</f>
        <v>6455.4</v>
      </c>
      <c r="W85" s="31">
        <f>L85-V85</f>
        <v>-155.39999999999964</v>
      </c>
    </row>
    <row r="86" spans="1:23" ht="25.5" x14ac:dyDescent="0.25">
      <c r="A86" s="173"/>
      <c r="B86" s="173"/>
      <c r="C86" s="171"/>
      <c r="D86" s="57" t="s">
        <v>124</v>
      </c>
      <c r="E86" s="61" t="s">
        <v>86</v>
      </c>
      <c r="F86" s="61">
        <v>2</v>
      </c>
      <c r="G86" s="62">
        <v>3000</v>
      </c>
      <c r="H86" s="57" t="s">
        <v>52</v>
      </c>
      <c r="I86" s="58">
        <v>0</v>
      </c>
      <c r="J86" s="58">
        <f>F86*G86*0.5</f>
        <v>3000</v>
      </c>
      <c r="K86" s="58">
        <f>F86*G86*0.5</f>
        <v>3000</v>
      </c>
      <c r="L86" s="60">
        <f>SUM(I86,J86,K86)</f>
        <v>6000</v>
      </c>
      <c r="M86" s="32">
        <v>0</v>
      </c>
      <c r="N86" s="32">
        <v>0</v>
      </c>
      <c r="O86" s="32">
        <v>0</v>
      </c>
      <c r="P86" s="32">
        <v>0</v>
      </c>
      <c r="Q86" s="32">
        <v>0</v>
      </c>
      <c r="R86" s="155">
        <v>0</v>
      </c>
      <c r="S86" s="155">
        <v>0</v>
      </c>
      <c r="T86" s="155">
        <v>2110.87</v>
      </c>
      <c r="U86" s="155"/>
      <c r="V86" s="31">
        <f>SUM(M86:U86)</f>
        <v>2110.87</v>
      </c>
      <c r="W86" s="31">
        <f>L86-V86</f>
        <v>3889.13</v>
      </c>
    </row>
    <row r="87" spans="1:23" ht="25.5" x14ac:dyDescent="0.25">
      <c r="A87" s="173"/>
      <c r="B87" s="173"/>
      <c r="C87" s="171"/>
      <c r="D87" s="57" t="s">
        <v>122</v>
      </c>
      <c r="E87" s="61" t="s">
        <v>86</v>
      </c>
      <c r="F87" s="61">
        <v>2</v>
      </c>
      <c r="G87" s="62">
        <v>1500</v>
      </c>
      <c r="H87" s="57" t="s">
        <v>52</v>
      </c>
      <c r="I87" s="58">
        <v>0</v>
      </c>
      <c r="J87" s="58">
        <f>F87*G87*0.5</f>
        <v>1500</v>
      </c>
      <c r="K87" s="58">
        <f>F87*G87*0.5</f>
        <v>1500</v>
      </c>
      <c r="L87" s="60">
        <f>SUM(I87,J87,K87)</f>
        <v>3000</v>
      </c>
      <c r="M87" s="32">
        <v>0</v>
      </c>
      <c r="N87" s="32">
        <v>0</v>
      </c>
      <c r="O87" s="32">
        <v>0</v>
      </c>
      <c r="P87" s="32">
        <v>0</v>
      </c>
      <c r="Q87" s="32">
        <v>0</v>
      </c>
      <c r="R87" s="155">
        <v>0</v>
      </c>
      <c r="S87" s="155">
        <v>0</v>
      </c>
      <c r="T87" s="155"/>
      <c r="U87" s="155"/>
      <c r="V87" s="31">
        <f>SUM(M87:U87)</f>
        <v>0</v>
      </c>
      <c r="W87" s="31">
        <f>L87-V87</f>
        <v>3000</v>
      </c>
    </row>
    <row r="88" spans="1:23" ht="25.5" x14ac:dyDescent="0.25">
      <c r="A88" s="173"/>
      <c r="B88" s="173"/>
      <c r="C88" s="175"/>
      <c r="D88" s="57" t="s">
        <v>125</v>
      </c>
      <c r="E88" s="61" t="s">
        <v>86</v>
      </c>
      <c r="F88" s="61">
        <v>2</v>
      </c>
      <c r="G88" s="62">
        <v>3000</v>
      </c>
      <c r="H88" s="57" t="s">
        <v>52</v>
      </c>
      <c r="I88" s="58">
        <v>0</v>
      </c>
      <c r="J88" s="58">
        <v>0</v>
      </c>
      <c r="K88" s="58">
        <f>F88*G88</f>
        <v>6000</v>
      </c>
      <c r="L88" s="60">
        <f>SUM(I88,J88,K88)</f>
        <v>6000</v>
      </c>
      <c r="M88" s="32">
        <v>0</v>
      </c>
      <c r="N88" s="32">
        <v>0</v>
      </c>
      <c r="O88" s="32">
        <v>0</v>
      </c>
      <c r="P88" s="32">
        <v>0</v>
      </c>
      <c r="Q88" s="32">
        <v>1627.33</v>
      </c>
      <c r="R88" s="155">
        <v>0</v>
      </c>
      <c r="S88" s="155">
        <v>1927.54</v>
      </c>
      <c r="T88" s="155"/>
      <c r="U88" s="155"/>
      <c r="V88" s="31">
        <f>SUM(M88:U88)</f>
        <v>3554.87</v>
      </c>
      <c r="W88" s="31">
        <f>L88-V88</f>
        <v>2445.13</v>
      </c>
    </row>
    <row r="89" spans="1:23" s="7" customFormat="1" x14ac:dyDescent="0.25">
      <c r="A89" s="173"/>
      <c r="B89" s="173"/>
      <c r="C89" s="66" t="s">
        <v>33</v>
      </c>
      <c r="D89" s="67"/>
      <c r="E89" s="95"/>
      <c r="F89" s="95"/>
      <c r="G89" s="82"/>
      <c r="H89" s="69"/>
      <c r="I89" s="70">
        <f>SUM(I84:I88)</f>
        <v>2250</v>
      </c>
      <c r="J89" s="70">
        <f>SUM(J84:J88)</f>
        <v>4500</v>
      </c>
      <c r="K89" s="70">
        <f>SUM(K84:K88)</f>
        <v>16800</v>
      </c>
      <c r="L89" s="71">
        <f>SUM(L84:L88)</f>
        <v>23510</v>
      </c>
      <c r="M89" s="33">
        <f t="shared" ref="M89" si="65">SUM(M84:M88)</f>
        <v>0</v>
      </c>
      <c r="N89" s="33">
        <f t="shared" ref="N89:P89" si="66">SUM(N84:N88)</f>
        <v>0</v>
      </c>
      <c r="O89" s="33">
        <f t="shared" si="66"/>
        <v>493.56</v>
      </c>
      <c r="P89" s="33">
        <f t="shared" si="66"/>
        <v>0</v>
      </c>
      <c r="Q89" s="33">
        <f t="shared" ref="Q89:W89" si="67">SUM(Q84:Q88)</f>
        <v>2502.6</v>
      </c>
      <c r="R89" s="33">
        <f t="shared" si="67"/>
        <v>0</v>
      </c>
      <c r="S89" s="33">
        <f t="shared" si="67"/>
        <v>2768.45</v>
      </c>
      <c r="T89" s="33">
        <f t="shared" si="67"/>
        <v>2110.87</v>
      </c>
      <c r="U89" s="33">
        <f t="shared" si="67"/>
        <v>6455.4</v>
      </c>
      <c r="V89" s="33">
        <f t="shared" si="67"/>
        <v>14330.879999999997</v>
      </c>
      <c r="W89" s="33">
        <f t="shared" si="67"/>
        <v>9179.1200000000008</v>
      </c>
    </row>
    <row r="90" spans="1:23" s="23" customFormat="1" ht="35.450000000000003" customHeight="1" x14ac:dyDescent="0.25">
      <c r="A90" s="173"/>
      <c r="B90" s="173"/>
      <c r="C90" s="170" t="s">
        <v>150</v>
      </c>
      <c r="D90" s="72" t="s">
        <v>115</v>
      </c>
      <c r="E90" s="73" t="s">
        <v>81</v>
      </c>
      <c r="F90" s="73">
        <v>10</v>
      </c>
      <c r="G90" s="74">
        <v>400</v>
      </c>
      <c r="H90" s="50" t="s">
        <v>63</v>
      </c>
      <c r="I90" s="51">
        <v>0</v>
      </c>
      <c r="J90" s="51">
        <f>(F90*G90)</f>
        <v>4000</v>
      </c>
      <c r="K90" s="51">
        <v>0</v>
      </c>
      <c r="L90" s="53">
        <v>2327</v>
      </c>
      <c r="M90" s="31">
        <v>0</v>
      </c>
      <c r="N90" s="31">
        <v>0</v>
      </c>
      <c r="O90" s="31">
        <v>839.06</v>
      </c>
      <c r="P90" s="31">
        <v>0</v>
      </c>
      <c r="Q90" s="31">
        <v>1487.96</v>
      </c>
      <c r="R90" s="154">
        <v>0</v>
      </c>
      <c r="S90" s="154">
        <v>0</v>
      </c>
      <c r="T90" s="154"/>
      <c r="U90" s="154"/>
      <c r="V90" s="31">
        <f>SUM(M90:U90)</f>
        <v>2327.02</v>
      </c>
      <c r="W90" s="31">
        <f t="shared" ref="W90:W95" si="68">L90-V90</f>
        <v>-1.999999999998181E-2</v>
      </c>
    </row>
    <row r="91" spans="1:23" ht="14.65" customHeight="1" x14ac:dyDescent="0.25">
      <c r="A91" s="173"/>
      <c r="B91" s="173"/>
      <c r="C91" s="171"/>
      <c r="D91" s="75" t="s">
        <v>108</v>
      </c>
      <c r="E91" s="76" t="s">
        <v>79</v>
      </c>
      <c r="F91" s="76">
        <v>3</v>
      </c>
      <c r="G91" s="77">
        <v>15000</v>
      </c>
      <c r="H91" s="57" t="s">
        <v>63</v>
      </c>
      <c r="I91" s="58">
        <v>0</v>
      </c>
      <c r="J91" s="58">
        <f t="shared" ref="J91:J95" si="69">(F91*G91)</f>
        <v>45000</v>
      </c>
      <c r="K91" s="58">
        <v>0</v>
      </c>
      <c r="L91" s="60">
        <v>50479</v>
      </c>
      <c r="M91" s="32">
        <v>0</v>
      </c>
      <c r="N91" s="32">
        <v>0</v>
      </c>
      <c r="O91" s="32">
        <v>0</v>
      </c>
      <c r="P91" s="32">
        <v>0</v>
      </c>
      <c r="Q91" s="32">
        <v>0</v>
      </c>
      <c r="R91" s="155">
        <v>0</v>
      </c>
      <c r="S91" s="155">
        <v>0</v>
      </c>
      <c r="T91" s="155">
        <v>50561.03</v>
      </c>
      <c r="U91" s="155"/>
      <c r="V91" s="31">
        <f t="shared" ref="V91:V95" si="70">SUM(M91:U91)</f>
        <v>50561.03</v>
      </c>
      <c r="W91" s="31">
        <f t="shared" si="68"/>
        <v>-82.029999999998836</v>
      </c>
    </row>
    <row r="92" spans="1:23" x14ac:dyDescent="0.25">
      <c r="A92" s="173"/>
      <c r="B92" s="173"/>
      <c r="C92" s="171"/>
      <c r="D92" s="57" t="s">
        <v>29</v>
      </c>
      <c r="E92" s="61" t="s">
        <v>79</v>
      </c>
      <c r="F92" s="61">
        <v>1</v>
      </c>
      <c r="G92" s="62">
        <v>5000</v>
      </c>
      <c r="H92" s="57" t="s">
        <v>63</v>
      </c>
      <c r="I92" s="97">
        <v>0</v>
      </c>
      <c r="J92" s="97">
        <f t="shared" si="69"/>
        <v>5000</v>
      </c>
      <c r="K92" s="58">
        <v>0</v>
      </c>
      <c r="L92" s="60">
        <v>5964</v>
      </c>
      <c r="M92" s="32">
        <v>0</v>
      </c>
      <c r="N92" s="32">
        <v>0</v>
      </c>
      <c r="O92" s="32">
        <v>0</v>
      </c>
      <c r="P92" s="32">
        <v>0</v>
      </c>
      <c r="Q92" s="32">
        <v>0</v>
      </c>
      <c r="R92" s="155">
        <v>6000</v>
      </c>
      <c r="S92" s="155">
        <v>-36.270000000000003</v>
      </c>
      <c r="T92" s="155"/>
      <c r="U92" s="155"/>
      <c r="V92" s="31">
        <f t="shared" si="70"/>
        <v>5963.73</v>
      </c>
      <c r="W92" s="31">
        <f t="shared" si="68"/>
        <v>0.27000000000043656</v>
      </c>
    </row>
    <row r="93" spans="1:23" x14ac:dyDescent="0.25">
      <c r="A93" s="173"/>
      <c r="B93" s="173"/>
      <c r="C93" s="171"/>
      <c r="D93" s="57" t="s">
        <v>30</v>
      </c>
      <c r="E93" s="61" t="s">
        <v>79</v>
      </c>
      <c r="F93" s="61">
        <v>10</v>
      </c>
      <c r="G93" s="62">
        <v>75</v>
      </c>
      <c r="H93" s="57" t="s">
        <v>63</v>
      </c>
      <c r="I93" s="58">
        <v>0</v>
      </c>
      <c r="J93" s="58">
        <f t="shared" si="69"/>
        <v>750</v>
      </c>
      <c r="K93" s="58">
        <v>0</v>
      </c>
      <c r="L93" s="60">
        <v>741</v>
      </c>
      <c r="M93" s="32">
        <v>0</v>
      </c>
      <c r="N93" s="32">
        <v>0</v>
      </c>
      <c r="O93" s="32">
        <v>0</v>
      </c>
      <c r="P93" s="32">
        <v>0</v>
      </c>
      <c r="Q93" s="32">
        <v>0</v>
      </c>
      <c r="R93" s="155">
        <v>0</v>
      </c>
      <c r="S93" s="155">
        <v>741.16</v>
      </c>
      <c r="T93" s="155"/>
      <c r="U93" s="155"/>
      <c r="V93" s="31">
        <f t="shared" si="70"/>
        <v>741.16</v>
      </c>
      <c r="W93" s="31">
        <f t="shared" si="68"/>
        <v>-0.15999999999996817</v>
      </c>
    </row>
    <row r="94" spans="1:23" x14ac:dyDescent="0.25">
      <c r="A94" s="173"/>
      <c r="B94" s="173"/>
      <c r="C94" s="171"/>
      <c r="D94" s="57" t="s">
        <v>31</v>
      </c>
      <c r="E94" s="61" t="s">
        <v>79</v>
      </c>
      <c r="F94" s="61">
        <v>1</v>
      </c>
      <c r="G94" s="62">
        <v>2500</v>
      </c>
      <c r="H94" s="57" t="s">
        <v>63</v>
      </c>
      <c r="I94" s="58">
        <v>0</v>
      </c>
      <c r="J94" s="98">
        <f t="shared" si="69"/>
        <v>2500</v>
      </c>
      <c r="K94" s="58">
        <v>0</v>
      </c>
      <c r="L94" s="60">
        <v>2212</v>
      </c>
      <c r="M94" s="32">
        <v>0</v>
      </c>
      <c r="N94" s="32">
        <v>0</v>
      </c>
      <c r="O94" s="32">
        <v>0</v>
      </c>
      <c r="P94" s="32">
        <v>0</v>
      </c>
      <c r="Q94" s="32">
        <v>0</v>
      </c>
      <c r="R94" s="155">
        <v>2211.87</v>
      </c>
      <c r="S94" s="155">
        <v>0</v>
      </c>
      <c r="T94" s="155"/>
      <c r="U94" s="155"/>
      <c r="V94" s="31">
        <f t="shared" si="70"/>
        <v>2211.87</v>
      </c>
      <c r="W94" s="31">
        <f t="shared" si="68"/>
        <v>0.13000000000010914</v>
      </c>
    </row>
    <row r="95" spans="1:23" x14ac:dyDescent="0.25">
      <c r="A95" s="173"/>
      <c r="B95" s="173"/>
      <c r="C95" s="171"/>
      <c r="D95" s="57" t="s">
        <v>32</v>
      </c>
      <c r="E95" s="61" t="s">
        <v>82</v>
      </c>
      <c r="F95" s="61">
        <v>1</v>
      </c>
      <c r="G95" s="62">
        <v>3000</v>
      </c>
      <c r="H95" s="57" t="s">
        <v>63</v>
      </c>
      <c r="I95" s="58">
        <v>0</v>
      </c>
      <c r="J95" s="98">
        <f t="shared" si="69"/>
        <v>3000</v>
      </c>
      <c r="K95" s="58">
        <v>0</v>
      </c>
      <c r="L95" s="60">
        <v>1464</v>
      </c>
      <c r="M95" s="32">
        <v>0</v>
      </c>
      <c r="N95" s="32">
        <v>0</v>
      </c>
      <c r="O95" s="32">
        <v>0</v>
      </c>
      <c r="P95" s="32">
        <v>0</v>
      </c>
      <c r="Q95" s="32">
        <v>0</v>
      </c>
      <c r="R95" s="155">
        <v>1463.52</v>
      </c>
      <c r="S95" s="155">
        <v>0</v>
      </c>
      <c r="T95" s="155"/>
      <c r="U95" s="155"/>
      <c r="V95" s="31">
        <f t="shared" si="70"/>
        <v>1463.52</v>
      </c>
      <c r="W95" s="31">
        <f t="shared" si="68"/>
        <v>0.48000000000001819</v>
      </c>
    </row>
    <row r="96" spans="1:23" s="7" customFormat="1" ht="15.75" customHeight="1" x14ac:dyDescent="0.25">
      <c r="A96" s="173"/>
      <c r="B96" s="173"/>
      <c r="C96" s="66" t="s">
        <v>35</v>
      </c>
      <c r="D96" s="67"/>
      <c r="E96" s="68"/>
      <c r="F96" s="68"/>
      <c r="G96" s="68"/>
      <c r="H96" s="69"/>
      <c r="I96" s="70">
        <f>SUM(I90:I95)</f>
        <v>0</v>
      </c>
      <c r="J96" s="70">
        <f>SUM(J90:J95)</f>
        <v>60250</v>
      </c>
      <c r="K96" s="70">
        <f>SUM(K90:K95)</f>
        <v>0</v>
      </c>
      <c r="L96" s="71">
        <f>SUM(L90:L95)</f>
        <v>63187</v>
      </c>
      <c r="M96" s="33">
        <f t="shared" ref="M96" si="71">SUM(M90:M95)</f>
        <v>0</v>
      </c>
      <c r="N96" s="33">
        <f t="shared" ref="N96:V96" si="72">SUM(N90:N95)</f>
        <v>0</v>
      </c>
      <c r="O96" s="33">
        <f t="shared" si="72"/>
        <v>839.06</v>
      </c>
      <c r="P96" s="33">
        <f t="shared" si="72"/>
        <v>0</v>
      </c>
      <c r="Q96" s="33">
        <f>SUM(Q90:Q95)</f>
        <v>1487.96</v>
      </c>
      <c r="R96" s="33">
        <f>SUM(R90:R95)</f>
        <v>9675.39</v>
      </c>
      <c r="S96" s="33">
        <f>SUM(S90:S95)</f>
        <v>704.89</v>
      </c>
      <c r="T96" s="33">
        <f>SUM(T90:T95)</f>
        <v>50561.03</v>
      </c>
      <c r="U96" s="33">
        <f>SUM(U90:U95)</f>
        <v>0</v>
      </c>
      <c r="V96" s="33">
        <f t="shared" si="72"/>
        <v>63268.33</v>
      </c>
      <c r="W96" s="33">
        <f>SUM(W90:W95)</f>
        <v>-81.329999999998222</v>
      </c>
    </row>
    <row r="97" spans="1:25" x14ac:dyDescent="0.25">
      <c r="A97" s="173"/>
      <c r="B97" s="173"/>
      <c r="C97" s="78" t="s">
        <v>36</v>
      </c>
      <c r="D97" s="78"/>
      <c r="E97" s="79"/>
      <c r="F97" s="79"/>
      <c r="G97" s="79"/>
      <c r="H97" s="79"/>
      <c r="I97" s="80">
        <f>SUM(I89,I96)</f>
        <v>2250</v>
      </c>
      <c r="J97" s="80">
        <f>SUM(J89,J96)</f>
        <v>64750</v>
      </c>
      <c r="K97" s="80">
        <f>SUM(K89,K96)</f>
        <v>16800</v>
      </c>
      <c r="L97" s="81">
        <v>86696</v>
      </c>
      <c r="M97" s="34">
        <f t="shared" ref="M97" si="73">M89+M96</f>
        <v>0</v>
      </c>
      <c r="N97" s="34">
        <f t="shared" ref="N97:V97" si="74">N89+N96</f>
        <v>0</v>
      </c>
      <c r="O97" s="34">
        <f t="shared" si="74"/>
        <v>1332.62</v>
      </c>
      <c r="P97" s="34">
        <f t="shared" si="74"/>
        <v>0</v>
      </c>
      <c r="Q97" s="34">
        <f>Q89+Q96</f>
        <v>3990.56</v>
      </c>
      <c r="R97" s="34">
        <f>R89+R96</f>
        <v>9675.39</v>
      </c>
      <c r="S97" s="34">
        <f>S89+S96</f>
        <v>3473.3399999999997</v>
      </c>
      <c r="T97" s="34">
        <f>T89+T96</f>
        <v>52671.9</v>
      </c>
      <c r="U97" s="34">
        <f>U89+U96</f>
        <v>6455.4</v>
      </c>
      <c r="V97" s="96">
        <f t="shared" si="74"/>
        <v>77599.209999999992</v>
      </c>
      <c r="W97" s="96">
        <f>W89+W96</f>
        <v>9097.7900000000027</v>
      </c>
    </row>
    <row r="98" spans="1:25" x14ac:dyDescent="0.25">
      <c r="A98" s="174"/>
      <c r="B98" s="174"/>
      <c r="C98" s="88" t="s">
        <v>37</v>
      </c>
      <c r="D98" s="89"/>
      <c r="E98" s="90"/>
      <c r="F98" s="90"/>
      <c r="G98" s="90"/>
      <c r="H98" s="91"/>
      <c r="I98" s="92">
        <f>SUM(I97)</f>
        <v>2250</v>
      </c>
      <c r="J98" s="92">
        <f>SUM(J97)</f>
        <v>64750</v>
      </c>
      <c r="K98" s="92">
        <f>SUM(K97)</f>
        <v>16800</v>
      </c>
      <c r="L98" s="93">
        <f>L97</f>
        <v>86696</v>
      </c>
      <c r="M98" s="36">
        <f t="shared" ref="M98" si="75">M97</f>
        <v>0</v>
      </c>
      <c r="N98" s="36">
        <f t="shared" ref="N98:W98" si="76">N97</f>
        <v>0</v>
      </c>
      <c r="O98" s="36">
        <f t="shared" si="76"/>
        <v>1332.62</v>
      </c>
      <c r="P98" s="36">
        <f t="shared" si="76"/>
        <v>0</v>
      </c>
      <c r="Q98" s="36">
        <f t="shared" si="76"/>
        <v>3990.56</v>
      </c>
      <c r="R98" s="36">
        <f t="shared" ref="R98:T98" si="77">R97</f>
        <v>9675.39</v>
      </c>
      <c r="S98" s="36">
        <f t="shared" si="77"/>
        <v>3473.3399999999997</v>
      </c>
      <c r="T98" s="36">
        <f t="shared" si="77"/>
        <v>52671.9</v>
      </c>
      <c r="U98" s="36">
        <f t="shared" ref="U98" si="78">U97</f>
        <v>6455.4</v>
      </c>
      <c r="V98" s="94">
        <f t="shared" si="76"/>
        <v>77599.209999999992</v>
      </c>
      <c r="W98" s="94">
        <f t="shared" si="76"/>
        <v>9097.7900000000027</v>
      </c>
    </row>
    <row r="99" spans="1:25" s="25" customFormat="1" ht="14.65" customHeight="1" x14ac:dyDescent="0.2">
      <c r="A99" s="172" t="s">
        <v>93</v>
      </c>
      <c r="B99" s="172" t="s">
        <v>154</v>
      </c>
      <c r="C99" s="170" t="s">
        <v>152</v>
      </c>
      <c r="D99" s="47" t="s">
        <v>106</v>
      </c>
      <c r="E99" s="48" t="s">
        <v>81</v>
      </c>
      <c r="F99" s="48">
        <v>5</v>
      </c>
      <c r="G99" s="49">
        <v>450</v>
      </c>
      <c r="H99" s="50" t="s">
        <v>63</v>
      </c>
      <c r="I99" s="51">
        <f>(F99*G99)</f>
        <v>2250</v>
      </c>
      <c r="J99" s="51">
        <v>0</v>
      </c>
      <c r="K99" s="51">
        <v>0</v>
      </c>
      <c r="L99" s="60">
        <v>2221</v>
      </c>
      <c r="M99" s="31">
        <v>0</v>
      </c>
      <c r="N99" s="31">
        <v>0</v>
      </c>
      <c r="O99" s="31">
        <v>493.56</v>
      </c>
      <c r="P99" s="31">
        <v>0</v>
      </c>
      <c r="Q99" s="31">
        <v>875.27</v>
      </c>
      <c r="R99" s="154">
        <v>0</v>
      </c>
      <c r="S99" s="154">
        <v>852.41</v>
      </c>
      <c r="T99" s="154"/>
      <c r="U99" s="154"/>
      <c r="V99" s="31">
        <f>SUM(M99:U99)</f>
        <v>2221.2399999999998</v>
      </c>
      <c r="W99" s="31">
        <f>L99-V99</f>
        <v>-0.23999999999978172</v>
      </c>
    </row>
    <row r="100" spans="1:25" s="13" customFormat="1" ht="25.5" x14ac:dyDescent="0.2">
      <c r="A100" s="173"/>
      <c r="B100" s="173"/>
      <c r="C100" s="171"/>
      <c r="D100" s="57" t="s">
        <v>41</v>
      </c>
      <c r="E100" s="61" t="s">
        <v>81</v>
      </c>
      <c r="F100" s="61">
        <v>12</v>
      </c>
      <c r="G100" s="59">
        <v>450</v>
      </c>
      <c r="H100" s="57" t="s">
        <v>63</v>
      </c>
      <c r="I100" s="58">
        <v>0</v>
      </c>
      <c r="J100" s="58">
        <v>0</v>
      </c>
      <c r="K100" s="58">
        <f>(F100*G100)</f>
        <v>5400</v>
      </c>
      <c r="L100" s="60">
        <f t="shared" ref="L100:L101" si="79">SUM(I100,J100,K100)</f>
        <v>5400</v>
      </c>
      <c r="M100" s="32">
        <v>0</v>
      </c>
      <c r="N100" s="32">
        <v>0</v>
      </c>
      <c r="O100" s="32">
        <v>0</v>
      </c>
      <c r="P100" s="32">
        <v>0</v>
      </c>
      <c r="Q100" s="32">
        <v>0</v>
      </c>
      <c r="R100" s="155">
        <v>0</v>
      </c>
      <c r="S100" s="155">
        <v>0</v>
      </c>
      <c r="T100" s="155"/>
      <c r="U100" s="155">
        <v>0</v>
      </c>
      <c r="V100" s="31">
        <f t="shared" ref="V100:V105" si="80">SUM(M100:U100)</f>
        <v>0</v>
      </c>
      <c r="W100" s="31">
        <f t="shared" ref="W100:W105" si="81">L100-V100</f>
        <v>5400</v>
      </c>
    </row>
    <row r="101" spans="1:25" s="13" customFormat="1" x14ac:dyDescent="0.2">
      <c r="A101" s="173"/>
      <c r="B101" s="173"/>
      <c r="C101" s="171"/>
      <c r="D101" s="57" t="s">
        <v>42</v>
      </c>
      <c r="E101" s="61" t="s">
        <v>81</v>
      </c>
      <c r="F101" s="99">
        <v>7</v>
      </c>
      <c r="G101" s="58">
        <v>450</v>
      </c>
      <c r="H101" s="57" t="s">
        <v>63</v>
      </c>
      <c r="I101" s="58">
        <v>0</v>
      </c>
      <c r="J101" s="58">
        <v>0</v>
      </c>
      <c r="K101" s="58">
        <f t="shared" ref="K101:K102" si="82">(F101*G101)</f>
        <v>3150</v>
      </c>
      <c r="L101" s="60">
        <f t="shared" si="79"/>
        <v>3150</v>
      </c>
      <c r="M101" s="32">
        <v>0</v>
      </c>
      <c r="N101" s="32">
        <v>0</v>
      </c>
      <c r="O101" s="32">
        <v>0</v>
      </c>
      <c r="P101" s="32">
        <v>0</v>
      </c>
      <c r="Q101" s="32">
        <v>0</v>
      </c>
      <c r="R101" s="155">
        <v>0</v>
      </c>
      <c r="S101" s="155">
        <v>0</v>
      </c>
      <c r="T101" s="155"/>
      <c r="U101" s="155">
        <v>0</v>
      </c>
      <c r="V101" s="31">
        <f t="shared" si="80"/>
        <v>0</v>
      </c>
      <c r="W101" s="31">
        <f t="shared" si="81"/>
        <v>3150</v>
      </c>
    </row>
    <row r="102" spans="1:25" s="13" customFormat="1" ht="33" customHeight="1" x14ac:dyDescent="0.2">
      <c r="A102" s="173"/>
      <c r="B102" s="173"/>
      <c r="C102" s="171"/>
      <c r="D102" s="57" t="s">
        <v>109</v>
      </c>
      <c r="E102" s="61" t="s">
        <v>81</v>
      </c>
      <c r="F102" s="61">
        <v>28</v>
      </c>
      <c r="G102" s="59">
        <v>450</v>
      </c>
      <c r="H102" s="57" t="s">
        <v>63</v>
      </c>
      <c r="I102" s="58">
        <v>0</v>
      </c>
      <c r="J102" s="58">
        <v>0</v>
      </c>
      <c r="K102" s="58">
        <f t="shared" si="82"/>
        <v>12600</v>
      </c>
      <c r="L102" s="60">
        <f>SUM(I102,J102,K102)</f>
        <v>12600</v>
      </c>
      <c r="M102" s="32">
        <v>0</v>
      </c>
      <c r="N102" s="32">
        <v>0</v>
      </c>
      <c r="O102" s="32">
        <v>0</v>
      </c>
      <c r="P102" s="32">
        <v>0</v>
      </c>
      <c r="Q102" s="32">
        <v>0</v>
      </c>
      <c r="R102" s="155">
        <v>0</v>
      </c>
      <c r="S102" s="155">
        <v>0</v>
      </c>
      <c r="T102" s="155"/>
      <c r="U102" s="155">
        <v>6244.21</v>
      </c>
      <c r="V102" s="31">
        <f t="shared" si="80"/>
        <v>6244.21</v>
      </c>
      <c r="W102" s="31">
        <f t="shared" si="81"/>
        <v>6355.79</v>
      </c>
    </row>
    <row r="103" spans="1:25" ht="65.25" customHeight="1" x14ac:dyDescent="0.25">
      <c r="A103" s="173"/>
      <c r="B103" s="173"/>
      <c r="C103" s="171"/>
      <c r="D103" s="57" t="s">
        <v>126</v>
      </c>
      <c r="E103" s="61" t="s">
        <v>86</v>
      </c>
      <c r="F103" s="61">
        <v>4</v>
      </c>
      <c r="G103" s="62">
        <v>3000</v>
      </c>
      <c r="H103" s="57" t="s">
        <v>52</v>
      </c>
      <c r="I103" s="58">
        <v>0</v>
      </c>
      <c r="J103" s="58">
        <f>F103*G103*0.5</f>
        <v>6000</v>
      </c>
      <c r="K103" s="58">
        <f>F103*G103*0.5</f>
        <v>6000</v>
      </c>
      <c r="L103" s="60">
        <f t="shared" ref="L103" si="83">SUM(I103,J103,K103)</f>
        <v>12000</v>
      </c>
      <c r="M103" s="32">
        <v>0</v>
      </c>
      <c r="N103" s="32">
        <v>0</v>
      </c>
      <c r="O103" s="32">
        <v>4296.2</v>
      </c>
      <c r="P103" s="32">
        <v>2695.9</v>
      </c>
      <c r="Q103" s="32">
        <v>0</v>
      </c>
      <c r="R103" s="155">
        <v>0</v>
      </c>
      <c r="S103" s="155">
        <v>389.91</v>
      </c>
      <c r="T103" s="155">
        <v>833.71</v>
      </c>
      <c r="U103" s="155"/>
      <c r="V103" s="31">
        <f t="shared" si="80"/>
        <v>8215.7200000000012</v>
      </c>
      <c r="W103" s="31">
        <f>L103-V103</f>
        <v>3784.2799999999988</v>
      </c>
    </row>
    <row r="104" spans="1:25" ht="25.5" x14ac:dyDescent="0.25">
      <c r="A104" s="173"/>
      <c r="B104" s="173"/>
      <c r="C104" s="171"/>
      <c r="D104" s="57" t="s">
        <v>119</v>
      </c>
      <c r="E104" s="61" t="s">
        <v>86</v>
      </c>
      <c r="F104" s="61">
        <v>4</v>
      </c>
      <c r="G104" s="62">
        <v>1500</v>
      </c>
      <c r="H104" s="57" t="s">
        <v>52</v>
      </c>
      <c r="I104" s="58">
        <v>0</v>
      </c>
      <c r="J104" s="58">
        <f>F104*G104*0.5</f>
        <v>3000</v>
      </c>
      <c r="K104" s="58">
        <f>F104*G104*0.5</f>
        <v>3000</v>
      </c>
      <c r="L104" s="60">
        <f>SUM(I104,J104,K104)</f>
        <v>6000</v>
      </c>
      <c r="M104" s="32">
        <v>0</v>
      </c>
      <c r="N104" s="32">
        <v>0</v>
      </c>
      <c r="O104" s="32">
        <v>0</v>
      </c>
      <c r="P104" s="32">
        <v>0</v>
      </c>
      <c r="Q104" s="32">
        <v>0</v>
      </c>
      <c r="R104" s="155">
        <v>0</v>
      </c>
      <c r="S104" s="155">
        <v>0</v>
      </c>
      <c r="T104" s="155"/>
      <c r="U104" s="155"/>
      <c r="V104" s="31">
        <f t="shared" si="80"/>
        <v>0</v>
      </c>
      <c r="W104" s="31">
        <f t="shared" si="81"/>
        <v>6000</v>
      </c>
    </row>
    <row r="105" spans="1:25" ht="25.5" x14ac:dyDescent="0.25">
      <c r="A105" s="173"/>
      <c r="B105" s="173"/>
      <c r="C105" s="175"/>
      <c r="D105" s="57" t="s">
        <v>127</v>
      </c>
      <c r="E105" s="61" t="s">
        <v>86</v>
      </c>
      <c r="F105" s="61">
        <v>4</v>
      </c>
      <c r="G105" s="62">
        <v>3000</v>
      </c>
      <c r="H105" s="57" t="s">
        <v>52</v>
      </c>
      <c r="I105" s="58">
        <v>0</v>
      </c>
      <c r="J105" s="58">
        <v>0</v>
      </c>
      <c r="K105" s="58">
        <f>F105*G105</f>
        <v>12000</v>
      </c>
      <c r="L105" s="60">
        <f>SUM(I105,J105,K105)</f>
        <v>12000</v>
      </c>
      <c r="M105" s="32">
        <v>0</v>
      </c>
      <c r="N105" s="32">
        <v>0</v>
      </c>
      <c r="O105" s="32">
        <v>0</v>
      </c>
      <c r="P105" s="32">
        <v>0</v>
      </c>
      <c r="Q105" s="32">
        <v>4990.74</v>
      </c>
      <c r="R105" s="155">
        <v>0</v>
      </c>
      <c r="S105" s="155">
        <v>3803.14</v>
      </c>
      <c r="T105" s="155"/>
      <c r="U105" s="155"/>
      <c r="V105" s="31">
        <f t="shared" si="80"/>
        <v>8793.8799999999992</v>
      </c>
      <c r="W105" s="31">
        <f t="shared" si="81"/>
        <v>3206.1200000000008</v>
      </c>
    </row>
    <row r="106" spans="1:25" s="7" customFormat="1" x14ac:dyDescent="0.25">
      <c r="A106" s="173"/>
      <c r="B106" s="173"/>
      <c r="C106" s="66" t="s">
        <v>40</v>
      </c>
      <c r="D106" s="67"/>
      <c r="E106" s="68"/>
      <c r="F106" s="68"/>
      <c r="G106" s="68"/>
      <c r="H106" s="69"/>
      <c r="I106" s="70">
        <f>SUM(I99:I105)</f>
        <v>2250</v>
      </c>
      <c r="J106" s="70">
        <f>SUM(J99:J105)</f>
        <v>9000</v>
      </c>
      <c r="K106" s="70">
        <f t="shared" ref="K106" si="84">SUM(K99:K105)</f>
        <v>42150</v>
      </c>
      <c r="L106" s="71">
        <f>SUM(L99:L105)</f>
        <v>53371</v>
      </c>
      <c r="M106" s="33">
        <f t="shared" ref="M106" si="85">SUM(M99:M105)</f>
        <v>0</v>
      </c>
      <c r="N106" s="33">
        <f t="shared" ref="N106:P106" si="86">SUM(N99:N105)</f>
        <v>0</v>
      </c>
      <c r="O106" s="33">
        <f t="shared" si="86"/>
        <v>4789.76</v>
      </c>
      <c r="P106" s="33">
        <f t="shared" si="86"/>
        <v>2695.9</v>
      </c>
      <c r="Q106" s="33">
        <f t="shared" ref="Q106:W106" si="87">SUM(Q99:Q105)</f>
        <v>5866.01</v>
      </c>
      <c r="R106" s="33">
        <f t="shared" si="87"/>
        <v>0</v>
      </c>
      <c r="S106" s="33">
        <f t="shared" si="87"/>
        <v>5045.46</v>
      </c>
      <c r="T106" s="33">
        <f t="shared" si="87"/>
        <v>833.71</v>
      </c>
      <c r="U106" s="33">
        <f t="shared" si="87"/>
        <v>6244.21</v>
      </c>
      <c r="V106" s="33">
        <f t="shared" si="87"/>
        <v>25475.050000000003</v>
      </c>
      <c r="W106" s="33">
        <f t="shared" si="87"/>
        <v>27895.949999999997</v>
      </c>
    </row>
    <row r="107" spans="1:25" s="23" customFormat="1" ht="27.95" customHeight="1" x14ac:dyDescent="0.25">
      <c r="A107" s="173"/>
      <c r="B107" s="173"/>
      <c r="C107" s="170" t="s">
        <v>153</v>
      </c>
      <c r="D107" s="72" t="s">
        <v>115</v>
      </c>
      <c r="E107" s="73" t="s">
        <v>81</v>
      </c>
      <c r="F107" s="73">
        <v>10</v>
      </c>
      <c r="G107" s="74">
        <v>400</v>
      </c>
      <c r="H107" s="50" t="s">
        <v>63</v>
      </c>
      <c r="I107" s="51">
        <v>0</v>
      </c>
      <c r="J107" s="51">
        <f>(F107*G107)</f>
        <v>4000</v>
      </c>
      <c r="K107" s="51">
        <v>0</v>
      </c>
      <c r="L107" s="53">
        <v>2327</v>
      </c>
      <c r="M107" s="31">
        <v>0</v>
      </c>
      <c r="N107" s="31">
        <v>0</v>
      </c>
      <c r="O107" s="31">
        <v>839</v>
      </c>
      <c r="P107" s="31">
        <v>0</v>
      </c>
      <c r="Q107" s="31">
        <v>1487.98</v>
      </c>
      <c r="R107" s="154">
        <v>0</v>
      </c>
      <c r="S107" s="154">
        <v>0</v>
      </c>
      <c r="T107" s="154"/>
      <c r="U107" s="154"/>
      <c r="V107" s="31">
        <f>SUM(M107:U107)</f>
        <v>2326.98</v>
      </c>
      <c r="W107" s="31">
        <f>L107-V107</f>
        <v>1.999999999998181E-2</v>
      </c>
    </row>
    <row r="108" spans="1:25" ht="21" customHeight="1" x14ac:dyDescent="0.25">
      <c r="A108" s="173"/>
      <c r="B108" s="173"/>
      <c r="C108" s="171"/>
      <c r="D108" s="57" t="s">
        <v>88</v>
      </c>
      <c r="E108" s="61" t="s">
        <v>79</v>
      </c>
      <c r="F108" s="61">
        <v>1</v>
      </c>
      <c r="G108" s="58">
        <v>110000</v>
      </c>
      <c r="H108" s="57" t="s">
        <v>63</v>
      </c>
      <c r="I108" s="58">
        <v>0</v>
      </c>
      <c r="J108" s="58">
        <f t="shared" ref="J108:J113" si="88">(F108*G108)</f>
        <v>110000</v>
      </c>
      <c r="K108" s="58">
        <v>0</v>
      </c>
      <c r="L108" s="60">
        <v>84267</v>
      </c>
      <c r="M108" s="32">
        <v>0</v>
      </c>
      <c r="N108" s="32">
        <v>0</v>
      </c>
      <c r="O108" s="32">
        <v>0</v>
      </c>
      <c r="P108" s="32">
        <v>0</v>
      </c>
      <c r="Q108" s="32">
        <v>84267</v>
      </c>
      <c r="R108" s="155">
        <v>0</v>
      </c>
      <c r="S108" s="155">
        <v>0</v>
      </c>
      <c r="T108" s="155"/>
      <c r="U108" s="155"/>
      <c r="V108" s="31">
        <f t="shared" ref="V108:V113" si="89">SUM(M108:U108)</f>
        <v>84267</v>
      </c>
      <c r="W108" s="31">
        <f>L108-V108</f>
        <v>0</v>
      </c>
    </row>
    <row r="109" spans="1:25" ht="30" customHeight="1" x14ac:dyDescent="0.25">
      <c r="A109" s="173"/>
      <c r="B109" s="173"/>
      <c r="C109" s="171"/>
      <c r="D109" s="57" t="s">
        <v>89</v>
      </c>
      <c r="E109" s="61" t="s">
        <v>79</v>
      </c>
      <c r="F109" s="61">
        <v>1</v>
      </c>
      <c r="G109" s="58">
        <v>20000</v>
      </c>
      <c r="H109" s="57" t="s">
        <v>63</v>
      </c>
      <c r="I109" s="58">
        <v>0</v>
      </c>
      <c r="J109" s="58">
        <f t="shared" si="88"/>
        <v>20000</v>
      </c>
      <c r="K109" s="58">
        <v>0</v>
      </c>
      <c r="L109" s="60">
        <v>23354</v>
      </c>
      <c r="M109" s="32">
        <v>0</v>
      </c>
      <c r="N109" s="32">
        <v>0</v>
      </c>
      <c r="O109" s="32">
        <v>0</v>
      </c>
      <c r="P109" s="32">
        <v>22574.240000000002</v>
      </c>
      <c r="Q109" s="32">
        <v>779.76</v>
      </c>
      <c r="R109" s="155">
        <v>0</v>
      </c>
      <c r="S109" s="155">
        <v>0</v>
      </c>
      <c r="T109" s="155"/>
      <c r="U109" s="155"/>
      <c r="V109" s="31">
        <f t="shared" si="89"/>
        <v>23354</v>
      </c>
      <c r="W109" s="31">
        <f t="shared" ref="W109:W113" si="90">L109-V109</f>
        <v>0</v>
      </c>
      <c r="Y109" s="144"/>
    </row>
    <row r="110" spans="1:25" x14ac:dyDescent="0.25">
      <c r="A110" s="173"/>
      <c r="B110" s="173"/>
      <c r="C110" s="171"/>
      <c r="D110" s="57" t="s">
        <v>38</v>
      </c>
      <c r="E110" s="61" t="s">
        <v>79</v>
      </c>
      <c r="F110" s="61">
        <v>1</v>
      </c>
      <c r="G110" s="58">
        <v>11000</v>
      </c>
      <c r="H110" s="57" t="s">
        <v>63</v>
      </c>
      <c r="I110" s="58">
        <v>0</v>
      </c>
      <c r="J110" s="58">
        <f t="shared" si="88"/>
        <v>11000</v>
      </c>
      <c r="K110" s="58">
        <v>0</v>
      </c>
      <c r="L110" s="60">
        <v>11279</v>
      </c>
      <c r="M110" s="32">
        <v>0</v>
      </c>
      <c r="N110" s="32">
        <v>0</v>
      </c>
      <c r="O110" s="32">
        <v>0</v>
      </c>
      <c r="P110" s="32">
        <v>0</v>
      </c>
      <c r="Q110" s="32">
        <v>0</v>
      </c>
      <c r="R110" s="155">
        <v>8652.82</v>
      </c>
      <c r="S110" s="155">
        <v>2626.08</v>
      </c>
      <c r="T110" s="155"/>
      <c r="U110" s="155"/>
      <c r="V110" s="31">
        <f t="shared" si="89"/>
        <v>11278.9</v>
      </c>
      <c r="W110" s="31">
        <f t="shared" si="90"/>
        <v>0.1000000000003638</v>
      </c>
    </row>
    <row r="111" spans="1:25" x14ac:dyDescent="0.25">
      <c r="A111" s="173"/>
      <c r="B111" s="173"/>
      <c r="C111" s="171"/>
      <c r="D111" s="75" t="s">
        <v>39</v>
      </c>
      <c r="E111" s="61" t="s">
        <v>79</v>
      </c>
      <c r="F111" s="61">
        <v>1</v>
      </c>
      <c r="G111" s="58">
        <v>10000</v>
      </c>
      <c r="H111" s="57" t="s">
        <v>63</v>
      </c>
      <c r="I111" s="58">
        <v>0</v>
      </c>
      <c r="J111" s="58">
        <f t="shared" si="88"/>
        <v>10000</v>
      </c>
      <c r="K111" s="58">
        <v>0</v>
      </c>
      <c r="L111" s="60">
        <v>10204</v>
      </c>
      <c r="M111" s="32">
        <v>0</v>
      </c>
      <c r="N111" s="32">
        <v>0</v>
      </c>
      <c r="O111" s="32">
        <v>0</v>
      </c>
      <c r="P111" s="32">
        <v>0</v>
      </c>
      <c r="Q111" s="32">
        <v>0</v>
      </c>
      <c r="R111" s="155">
        <v>10204.08</v>
      </c>
      <c r="S111" s="155">
        <v>0</v>
      </c>
      <c r="T111" s="155"/>
      <c r="U111" s="155"/>
      <c r="V111" s="31">
        <f t="shared" si="89"/>
        <v>10204.08</v>
      </c>
      <c r="W111" s="31">
        <f t="shared" si="90"/>
        <v>-7.999999999992724E-2</v>
      </c>
    </row>
    <row r="112" spans="1:25" x14ac:dyDescent="0.25">
      <c r="A112" s="173"/>
      <c r="B112" s="173"/>
      <c r="C112" s="171"/>
      <c r="D112" s="57" t="s">
        <v>67</v>
      </c>
      <c r="E112" s="61" t="s">
        <v>79</v>
      </c>
      <c r="F112" s="61">
        <v>1</v>
      </c>
      <c r="G112" s="58">
        <v>4505</v>
      </c>
      <c r="H112" s="57" t="s">
        <v>63</v>
      </c>
      <c r="I112" s="58">
        <v>0</v>
      </c>
      <c r="J112" s="58">
        <f t="shared" si="88"/>
        <v>4505</v>
      </c>
      <c r="K112" s="58">
        <v>0</v>
      </c>
      <c r="L112" s="60">
        <v>4898</v>
      </c>
      <c r="M112" s="32">
        <v>0</v>
      </c>
      <c r="N112" s="32">
        <v>0</v>
      </c>
      <c r="O112" s="32">
        <v>0</v>
      </c>
      <c r="P112" s="32">
        <v>0</v>
      </c>
      <c r="Q112" s="32">
        <v>0</v>
      </c>
      <c r="R112" s="155">
        <v>4897.96</v>
      </c>
      <c r="S112" s="155">
        <v>0</v>
      </c>
      <c r="T112" s="155"/>
      <c r="U112" s="155"/>
      <c r="V112" s="31">
        <f t="shared" si="89"/>
        <v>4897.96</v>
      </c>
      <c r="W112" s="31">
        <f t="shared" si="90"/>
        <v>3.999999999996362E-2</v>
      </c>
    </row>
    <row r="113" spans="1:23" x14ac:dyDescent="0.25">
      <c r="A113" s="173"/>
      <c r="B113" s="173"/>
      <c r="C113" s="175"/>
      <c r="D113" s="57" t="s">
        <v>68</v>
      </c>
      <c r="E113" s="61" t="s">
        <v>79</v>
      </c>
      <c r="F113" s="61">
        <v>1</v>
      </c>
      <c r="G113" s="58">
        <v>2500</v>
      </c>
      <c r="H113" s="57" t="s">
        <v>63</v>
      </c>
      <c r="I113" s="58">
        <v>0</v>
      </c>
      <c r="J113" s="58">
        <f t="shared" si="88"/>
        <v>2500</v>
      </c>
      <c r="K113" s="58">
        <v>0</v>
      </c>
      <c r="L113" s="60">
        <v>2538</v>
      </c>
      <c r="M113" s="32">
        <v>0</v>
      </c>
      <c r="N113" s="32">
        <v>0</v>
      </c>
      <c r="O113" s="32">
        <v>0</v>
      </c>
      <c r="P113" s="32">
        <v>0</v>
      </c>
      <c r="Q113" s="32">
        <v>0</v>
      </c>
      <c r="R113" s="155">
        <v>2538.4499999999998</v>
      </c>
      <c r="S113" s="155">
        <v>0</v>
      </c>
      <c r="T113" s="155"/>
      <c r="U113" s="155"/>
      <c r="V113" s="31">
        <f t="shared" si="89"/>
        <v>2538.4499999999998</v>
      </c>
      <c r="W113" s="31">
        <f t="shared" si="90"/>
        <v>-0.4499999999998181</v>
      </c>
    </row>
    <row r="114" spans="1:23" s="7" customFormat="1" ht="15.75" customHeight="1" x14ac:dyDescent="0.25">
      <c r="A114" s="173"/>
      <c r="B114" s="173"/>
      <c r="C114" s="66" t="s">
        <v>43</v>
      </c>
      <c r="D114" s="67"/>
      <c r="E114" s="68"/>
      <c r="F114" s="68"/>
      <c r="G114" s="68"/>
      <c r="H114" s="69"/>
      <c r="I114" s="70">
        <f>SUM(I107:I113)</f>
        <v>0</v>
      </c>
      <c r="J114" s="70">
        <f>SUM(J107:J113)</f>
        <v>162005</v>
      </c>
      <c r="K114" s="70">
        <f>SUM(K107:K113)</f>
        <v>0</v>
      </c>
      <c r="L114" s="71">
        <f>SUM(L107:L113)</f>
        <v>138867</v>
      </c>
      <c r="M114" s="33">
        <f t="shared" ref="M114" si="91">SUM(M107:M113)</f>
        <v>0</v>
      </c>
      <c r="N114" s="33">
        <f t="shared" ref="N114:W114" si="92">SUM(N107:N113)</f>
        <v>0</v>
      </c>
      <c r="O114" s="33">
        <f t="shared" si="92"/>
        <v>839</v>
      </c>
      <c r="P114" s="33">
        <f t="shared" si="92"/>
        <v>22574.240000000002</v>
      </c>
      <c r="Q114" s="33">
        <f t="shared" ref="Q114:V114" si="93">SUM(Q107:Q113)</f>
        <v>86534.739999999991</v>
      </c>
      <c r="R114" s="33">
        <f t="shared" si="93"/>
        <v>26293.31</v>
      </c>
      <c r="S114" s="33">
        <f t="shared" si="93"/>
        <v>2626.08</v>
      </c>
      <c r="T114" s="33">
        <f t="shared" si="93"/>
        <v>0</v>
      </c>
      <c r="U114" s="33">
        <f t="shared" si="93"/>
        <v>0</v>
      </c>
      <c r="V114" s="33">
        <f t="shared" si="93"/>
        <v>138867.37</v>
      </c>
      <c r="W114" s="33">
        <f t="shared" si="92"/>
        <v>-0.36999999999943611</v>
      </c>
    </row>
    <row r="115" spans="1:23" x14ac:dyDescent="0.25">
      <c r="A115" s="173"/>
      <c r="B115" s="174"/>
      <c r="C115" s="78" t="s">
        <v>44</v>
      </c>
      <c r="D115" s="78"/>
      <c r="E115" s="79"/>
      <c r="F115" s="79"/>
      <c r="G115" s="79"/>
      <c r="H115" s="79"/>
      <c r="I115" s="80">
        <f>SUM(I106,I114)</f>
        <v>2250</v>
      </c>
      <c r="J115" s="80">
        <f>SUM(J106,J114)</f>
        <v>171005</v>
      </c>
      <c r="K115" s="80">
        <f>SUM(K106,K114)</f>
        <v>42150</v>
      </c>
      <c r="L115" s="81">
        <v>192239</v>
      </c>
      <c r="M115" s="37">
        <f t="shared" ref="M115" si="94">M106+M114</f>
        <v>0</v>
      </c>
      <c r="N115" s="37">
        <f t="shared" ref="N115:V115" si="95">N106+N114</f>
        <v>0</v>
      </c>
      <c r="O115" s="37">
        <f t="shared" si="95"/>
        <v>5628.76</v>
      </c>
      <c r="P115" s="37">
        <f t="shared" si="95"/>
        <v>25270.140000000003</v>
      </c>
      <c r="Q115" s="37">
        <f t="shared" si="95"/>
        <v>92400.749999999985</v>
      </c>
      <c r="R115" s="37">
        <f t="shared" ref="R115:T115" si="96">R106+R114</f>
        <v>26293.31</v>
      </c>
      <c r="S115" s="37">
        <f t="shared" si="96"/>
        <v>7671.54</v>
      </c>
      <c r="T115" s="37">
        <f t="shared" si="96"/>
        <v>833.71</v>
      </c>
      <c r="U115" s="37">
        <f t="shared" ref="U115" si="97">U106+U114</f>
        <v>6244.21</v>
      </c>
      <c r="V115" s="37">
        <f t="shared" si="95"/>
        <v>164342.41999999998</v>
      </c>
      <c r="W115" s="37">
        <f>W106+W114</f>
        <v>27895.579999999998</v>
      </c>
    </row>
    <row r="116" spans="1:23" ht="38.25" x14ac:dyDescent="0.25">
      <c r="A116" s="173"/>
      <c r="B116" s="173" t="s">
        <v>155</v>
      </c>
      <c r="C116" s="100" t="s">
        <v>157</v>
      </c>
      <c r="D116" s="75" t="s">
        <v>110</v>
      </c>
      <c r="E116" s="76" t="s">
        <v>81</v>
      </c>
      <c r="F116" s="76">
        <v>10</v>
      </c>
      <c r="G116" s="77">
        <v>700</v>
      </c>
      <c r="H116" s="57" t="s">
        <v>63</v>
      </c>
      <c r="I116" s="58">
        <v>0</v>
      </c>
      <c r="J116" s="98">
        <v>0</v>
      </c>
      <c r="K116" s="98">
        <f>F116*G116</f>
        <v>7000</v>
      </c>
      <c r="L116" s="101">
        <v>9200</v>
      </c>
      <c r="M116" s="32">
        <v>0</v>
      </c>
      <c r="N116" s="32">
        <v>0</v>
      </c>
      <c r="O116" s="32">
        <v>0</v>
      </c>
      <c r="P116" s="32">
        <v>0</v>
      </c>
      <c r="Q116" s="32">
        <v>0</v>
      </c>
      <c r="R116" s="155">
        <v>0</v>
      </c>
      <c r="S116" s="155">
        <v>0</v>
      </c>
      <c r="T116" s="155">
        <f t="shared" ref="T116:T117" si="98">SUM(M116:S116)</f>
        <v>0</v>
      </c>
      <c r="U116" s="155">
        <v>2037.56</v>
      </c>
      <c r="V116" s="31">
        <f>SUM(M116:U116)</f>
        <v>2037.56</v>
      </c>
      <c r="W116" s="31">
        <f>L116-V116</f>
        <v>7162.4400000000005</v>
      </c>
    </row>
    <row r="117" spans="1:23" s="7" customFormat="1" x14ac:dyDescent="0.25">
      <c r="A117" s="173"/>
      <c r="B117" s="173"/>
      <c r="C117" s="66" t="s">
        <v>45</v>
      </c>
      <c r="D117" s="67"/>
      <c r="E117" s="95"/>
      <c r="F117" s="95"/>
      <c r="G117" s="82"/>
      <c r="H117" s="69"/>
      <c r="I117" s="82">
        <f>SUM(I116:I116)</f>
        <v>0</v>
      </c>
      <c r="J117" s="82">
        <f>SUM(J116:J116)</f>
        <v>0</v>
      </c>
      <c r="K117" s="82">
        <f>SUM(K116:K116)</f>
        <v>7000</v>
      </c>
      <c r="L117" s="83">
        <f>L116</f>
        <v>9200</v>
      </c>
      <c r="M117" s="33">
        <f t="shared" ref="M117" si="99">SUM(M116)</f>
        <v>0</v>
      </c>
      <c r="N117" s="33">
        <f t="shared" ref="N117:W117" si="100">SUM(N116)</f>
        <v>0</v>
      </c>
      <c r="O117" s="33">
        <f t="shared" si="100"/>
        <v>0</v>
      </c>
      <c r="P117" s="33">
        <f t="shared" si="100"/>
        <v>0</v>
      </c>
      <c r="Q117" s="33">
        <f t="shared" si="100"/>
        <v>0</v>
      </c>
      <c r="R117" s="33">
        <f t="shared" ref="R117:S117" si="101">SUM(R116)</f>
        <v>0</v>
      </c>
      <c r="S117" s="33">
        <f t="shared" si="101"/>
        <v>0</v>
      </c>
      <c r="T117" s="33">
        <f t="shared" si="98"/>
        <v>0</v>
      </c>
      <c r="U117" s="33">
        <f>SUM(U116)</f>
        <v>2037.56</v>
      </c>
      <c r="V117" s="33">
        <f t="shared" si="100"/>
        <v>2037.56</v>
      </c>
      <c r="W117" s="33">
        <f t="shared" si="100"/>
        <v>7162.4400000000005</v>
      </c>
    </row>
    <row r="118" spans="1:23" s="23" customFormat="1" ht="35.450000000000003" customHeight="1" x14ac:dyDescent="0.25">
      <c r="A118" s="173"/>
      <c r="B118" s="173"/>
      <c r="C118" s="170" t="s">
        <v>156</v>
      </c>
      <c r="D118" s="72" t="s">
        <v>116</v>
      </c>
      <c r="E118" s="73" t="s">
        <v>81</v>
      </c>
      <c r="F118" s="73">
        <v>5</v>
      </c>
      <c r="G118" s="74">
        <v>400</v>
      </c>
      <c r="H118" s="50" t="s">
        <v>63</v>
      </c>
      <c r="I118" s="51">
        <v>0</v>
      </c>
      <c r="J118" s="51">
        <f>(F118*G118)</f>
        <v>2000</v>
      </c>
      <c r="K118" s="51">
        <v>0</v>
      </c>
      <c r="L118" s="53">
        <v>0</v>
      </c>
      <c r="M118" s="31">
        <v>0</v>
      </c>
      <c r="N118" s="31">
        <v>0</v>
      </c>
      <c r="O118" s="31">
        <v>0</v>
      </c>
      <c r="P118" s="31">
        <v>0</v>
      </c>
      <c r="Q118" s="31">
        <v>0</v>
      </c>
      <c r="R118" s="154">
        <v>0</v>
      </c>
      <c r="S118" s="154">
        <v>0</v>
      </c>
      <c r="T118" s="154"/>
      <c r="U118" s="154"/>
      <c r="V118" s="31">
        <f>SUM(M118:U118)</f>
        <v>0</v>
      </c>
      <c r="W118" s="31">
        <f>L118-V118</f>
        <v>0</v>
      </c>
    </row>
    <row r="119" spans="1:23" x14ac:dyDescent="0.25">
      <c r="A119" s="173"/>
      <c r="B119" s="173"/>
      <c r="C119" s="171"/>
      <c r="D119" s="75" t="s">
        <v>90</v>
      </c>
      <c r="E119" s="76" t="s">
        <v>79</v>
      </c>
      <c r="F119" s="76">
        <v>1</v>
      </c>
      <c r="G119" s="77">
        <v>235000</v>
      </c>
      <c r="H119" s="57" t="s">
        <v>63</v>
      </c>
      <c r="I119" s="98">
        <v>0</v>
      </c>
      <c r="J119" s="98">
        <f>(F119*G119)</f>
        <v>235000</v>
      </c>
      <c r="K119" s="98">
        <v>0</v>
      </c>
      <c r="L119" s="101">
        <v>239917</v>
      </c>
      <c r="M119" s="32">
        <v>0</v>
      </c>
      <c r="N119" s="32">
        <v>0</v>
      </c>
      <c r="O119" s="32">
        <v>0</v>
      </c>
      <c r="P119" s="32">
        <v>0</v>
      </c>
      <c r="Q119" s="32">
        <v>0</v>
      </c>
      <c r="R119" s="155">
        <v>0</v>
      </c>
      <c r="S119" s="155">
        <v>78.16</v>
      </c>
      <c r="T119" s="155">
        <v>239809</v>
      </c>
      <c r="U119" s="155">
        <v>124.54</v>
      </c>
      <c r="V119" s="31">
        <f>SUM(M119:U119)</f>
        <v>240011.7</v>
      </c>
      <c r="W119" s="31">
        <f>L119-V119</f>
        <v>-94.700000000011642</v>
      </c>
    </row>
    <row r="120" spans="1:23" s="7" customFormat="1" x14ac:dyDescent="0.25">
      <c r="A120" s="173"/>
      <c r="B120" s="173"/>
      <c r="C120" s="66" t="s">
        <v>46</v>
      </c>
      <c r="D120" s="67"/>
      <c r="E120" s="68"/>
      <c r="F120" s="68"/>
      <c r="G120" s="102"/>
      <c r="H120" s="69"/>
      <c r="I120" s="70">
        <f>SUM(I118:I119)</f>
        <v>0</v>
      </c>
      <c r="J120" s="70">
        <f>SUM(J118:J119)</f>
        <v>237000</v>
      </c>
      <c r="K120" s="70">
        <f>SUM(K118:K119)</f>
        <v>0</v>
      </c>
      <c r="L120" s="71">
        <f>SUM(L118:L119)</f>
        <v>239917</v>
      </c>
      <c r="M120" s="33">
        <f t="shared" ref="M120" si="102">SUM(M118:M119)</f>
        <v>0</v>
      </c>
      <c r="N120" s="33">
        <f t="shared" ref="N120:W120" si="103">SUM(N118:N119)</f>
        <v>0</v>
      </c>
      <c r="O120" s="33">
        <f t="shared" si="103"/>
        <v>0</v>
      </c>
      <c r="P120" s="33">
        <f t="shared" si="103"/>
        <v>0</v>
      </c>
      <c r="Q120" s="33">
        <f t="shared" si="103"/>
        <v>0</v>
      </c>
      <c r="R120" s="33">
        <f t="shared" ref="R120:S120" si="104">SUM(R118:R119)</f>
        <v>0</v>
      </c>
      <c r="S120" s="33">
        <f t="shared" si="104"/>
        <v>78.16</v>
      </c>
      <c r="T120" s="33">
        <f>SUM(T118:T119)</f>
        <v>239809</v>
      </c>
      <c r="U120" s="33">
        <f>SUM(U118:U119)</f>
        <v>124.54</v>
      </c>
      <c r="V120" s="33">
        <f t="shared" si="103"/>
        <v>240011.7</v>
      </c>
      <c r="W120" s="33">
        <f t="shared" si="103"/>
        <v>-94.700000000011642</v>
      </c>
    </row>
    <row r="121" spans="1:23" x14ac:dyDescent="0.25">
      <c r="A121" s="173"/>
      <c r="B121" s="174"/>
      <c r="C121" s="78" t="s">
        <v>47</v>
      </c>
      <c r="D121" s="84"/>
      <c r="E121" s="85"/>
      <c r="F121" s="85"/>
      <c r="G121" s="103"/>
      <c r="H121" s="79"/>
      <c r="I121" s="80">
        <f>SUM(I117,I120)</f>
        <v>0</v>
      </c>
      <c r="J121" s="80">
        <f>SUM(J117,J120)</f>
        <v>237000</v>
      </c>
      <c r="K121" s="80">
        <f>SUM(K117,K120)</f>
        <v>7000</v>
      </c>
      <c r="L121" s="81">
        <f>L117+L120</f>
        <v>249117</v>
      </c>
      <c r="M121" s="34">
        <f t="shared" ref="M121" si="105">M117+M120</f>
        <v>0</v>
      </c>
      <c r="N121" s="34">
        <f t="shared" ref="N121:W121" si="106">N117+N120</f>
        <v>0</v>
      </c>
      <c r="O121" s="34">
        <f t="shared" si="106"/>
        <v>0</v>
      </c>
      <c r="P121" s="34">
        <f t="shared" si="106"/>
        <v>0</v>
      </c>
      <c r="Q121" s="34">
        <f t="shared" si="106"/>
        <v>0</v>
      </c>
      <c r="R121" s="34">
        <f t="shared" ref="R121:T121" si="107">R117+R120</f>
        <v>0</v>
      </c>
      <c r="S121" s="34">
        <f t="shared" si="107"/>
        <v>78.16</v>
      </c>
      <c r="T121" s="34">
        <f t="shared" si="107"/>
        <v>239809</v>
      </c>
      <c r="U121" s="34">
        <f t="shared" ref="U121" si="108">U117+U120</f>
        <v>2162.1</v>
      </c>
      <c r="V121" s="96">
        <f>V117+V120</f>
        <v>242049.26</v>
      </c>
      <c r="W121" s="96">
        <f t="shared" si="106"/>
        <v>7067.7399999999889</v>
      </c>
    </row>
    <row r="122" spans="1:23" x14ac:dyDescent="0.25">
      <c r="A122" s="174"/>
      <c r="B122" s="87"/>
      <c r="C122" s="88" t="s">
        <v>48</v>
      </c>
      <c r="D122" s="89"/>
      <c r="E122" s="90"/>
      <c r="F122" s="90"/>
      <c r="G122" s="104"/>
      <c r="H122" s="91"/>
      <c r="I122" s="92">
        <f>SUM(I115,I121)</f>
        <v>2250</v>
      </c>
      <c r="J122" s="92">
        <f>SUM(J115,J121)</f>
        <v>408005</v>
      </c>
      <c r="K122" s="92">
        <f>SUM(K115,K121)</f>
        <v>49150</v>
      </c>
      <c r="L122" s="93">
        <f>L115+L121</f>
        <v>441356</v>
      </c>
      <c r="M122" s="36">
        <f t="shared" ref="M122" si="109">M115+M121</f>
        <v>0</v>
      </c>
      <c r="N122" s="36">
        <f t="shared" ref="N122:W122" si="110">N115+N121</f>
        <v>0</v>
      </c>
      <c r="O122" s="36">
        <f t="shared" si="110"/>
        <v>5628.76</v>
      </c>
      <c r="P122" s="36">
        <f t="shared" si="110"/>
        <v>25270.140000000003</v>
      </c>
      <c r="Q122" s="36">
        <f t="shared" si="110"/>
        <v>92400.749999999985</v>
      </c>
      <c r="R122" s="36">
        <f t="shared" ref="R122:T122" si="111">R115+R121</f>
        <v>26293.31</v>
      </c>
      <c r="S122" s="36">
        <f t="shared" si="111"/>
        <v>7749.7</v>
      </c>
      <c r="T122" s="36">
        <f t="shared" si="111"/>
        <v>240642.71</v>
      </c>
      <c r="U122" s="36">
        <f t="shared" ref="U122" si="112">U115+U121</f>
        <v>8406.31</v>
      </c>
      <c r="V122" s="94">
        <f>V115+V121</f>
        <v>406391.68</v>
      </c>
      <c r="W122" s="94">
        <f t="shared" si="110"/>
        <v>34963.319999999985</v>
      </c>
    </row>
    <row r="123" spans="1:23" x14ac:dyDescent="0.25">
      <c r="A123" s="105"/>
      <c r="B123" s="106"/>
      <c r="C123" s="88" t="s">
        <v>158</v>
      </c>
      <c r="D123" s="89"/>
      <c r="E123" s="90"/>
      <c r="F123" s="90"/>
      <c r="G123" s="104"/>
      <c r="H123" s="91"/>
      <c r="I123" s="92">
        <f t="shared" ref="I123:W123" si="113">SUM(I122,I98,I83,I64)</f>
        <v>9000</v>
      </c>
      <c r="J123" s="92">
        <f t="shared" si="113"/>
        <v>662355</v>
      </c>
      <c r="K123" s="92">
        <f t="shared" si="113"/>
        <v>162600</v>
      </c>
      <c r="L123" s="93">
        <f t="shared" si="113"/>
        <v>1039355</v>
      </c>
      <c r="M123" s="38">
        <f t="shared" ref="M123" si="114">SUM(M122,M98,M83,M64)</f>
        <v>0</v>
      </c>
      <c r="N123" s="38">
        <f t="shared" si="113"/>
        <v>525</v>
      </c>
      <c r="O123" s="38">
        <f t="shared" ref="O123:U123" si="115">SUM(O122,O98,O83,O64)</f>
        <v>12079.8</v>
      </c>
      <c r="P123" s="38">
        <f t="shared" si="115"/>
        <v>30883.910000000003</v>
      </c>
      <c r="Q123" s="38">
        <f t="shared" si="115"/>
        <v>212940.21</v>
      </c>
      <c r="R123" s="38">
        <f t="shared" si="115"/>
        <v>58626.61</v>
      </c>
      <c r="S123" s="38">
        <f t="shared" si="115"/>
        <v>46004.23</v>
      </c>
      <c r="T123" s="38">
        <f t="shared" si="115"/>
        <v>302835.92</v>
      </c>
      <c r="U123" s="38">
        <f t="shared" si="115"/>
        <v>29938.909999999996</v>
      </c>
      <c r="V123" s="107">
        <f>SUM(V122,V98,V83,V64)</f>
        <v>693834.59000000008</v>
      </c>
      <c r="W123" s="107">
        <f t="shared" si="113"/>
        <v>345521.3</v>
      </c>
    </row>
    <row r="124" spans="1:23" s="23" customFormat="1" ht="15" customHeight="1" x14ac:dyDescent="0.25">
      <c r="A124" s="185" t="s">
        <v>49</v>
      </c>
      <c r="B124" s="186"/>
      <c r="C124" s="191" t="s">
        <v>50</v>
      </c>
      <c r="D124" s="108" t="s">
        <v>94</v>
      </c>
      <c r="E124" s="109" t="s">
        <v>80</v>
      </c>
      <c r="F124" s="109">
        <v>24</v>
      </c>
      <c r="G124" s="110">
        <v>3200</v>
      </c>
      <c r="H124" s="50" t="s">
        <v>64</v>
      </c>
      <c r="I124" s="110">
        <v>9600</v>
      </c>
      <c r="J124" s="110">
        <v>38400</v>
      </c>
      <c r="K124" s="110">
        <v>28800</v>
      </c>
      <c r="L124" s="111">
        <v>147157</v>
      </c>
      <c r="M124" s="39">
        <v>3165.87</v>
      </c>
      <c r="N124" s="39">
        <v>14086.45</v>
      </c>
      <c r="O124" s="39">
        <v>7794</v>
      </c>
      <c r="P124" s="39">
        <v>11368.79</v>
      </c>
      <c r="Q124" s="39">
        <v>11467.43</v>
      </c>
      <c r="R124" s="156">
        <v>11648.5</v>
      </c>
      <c r="S124" s="156">
        <v>11347.61</v>
      </c>
      <c r="T124" s="156">
        <v>12878.35</v>
      </c>
      <c r="U124" s="156">
        <v>12122.72</v>
      </c>
      <c r="V124" s="31">
        <f>SUM(M124:U124)</f>
        <v>95879.72</v>
      </c>
      <c r="W124" s="128">
        <f>L124-V124</f>
        <v>51277.279999999999</v>
      </c>
    </row>
    <row r="125" spans="1:23" s="23" customFormat="1" ht="15" customHeight="1" x14ac:dyDescent="0.25">
      <c r="A125" s="187"/>
      <c r="B125" s="188"/>
      <c r="C125" s="192"/>
      <c r="D125" s="108" t="s">
        <v>95</v>
      </c>
      <c r="E125" s="109" t="s">
        <v>80</v>
      </c>
      <c r="F125" s="109">
        <v>24</v>
      </c>
      <c r="G125" s="110">
        <v>2300</v>
      </c>
      <c r="H125" s="50" t="s">
        <v>64</v>
      </c>
      <c r="I125" s="110">
        <v>6900</v>
      </c>
      <c r="J125" s="110">
        <v>27600</v>
      </c>
      <c r="K125" s="110">
        <v>20700</v>
      </c>
      <c r="L125" s="111">
        <v>52917</v>
      </c>
      <c r="M125" s="31">
        <v>0</v>
      </c>
      <c r="N125" s="31">
        <v>0</v>
      </c>
      <c r="O125" s="31">
        <v>0</v>
      </c>
      <c r="P125" s="31">
        <v>0</v>
      </c>
      <c r="Q125" s="31">
        <v>4176.22</v>
      </c>
      <c r="R125" s="154">
        <v>5946.41</v>
      </c>
      <c r="S125" s="154">
        <v>6570.67</v>
      </c>
      <c r="T125" s="154">
        <v>7561.89</v>
      </c>
      <c r="U125" s="154"/>
      <c r="V125" s="31">
        <f>SUM(M125:U125)</f>
        <v>24255.190000000002</v>
      </c>
      <c r="W125" s="31">
        <f>L125-V125</f>
        <v>28661.809999999998</v>
      </c>
    </row>
    <row r="126" spans="1:23" s="23" customFormat="1" ht="15" customHeight="1" x14ac:dyDescent="0.25">
      <c r="A126" s="187"/>
      <c r="B126" s="188"/>
      <c r="C126" s="192"/>
      <c r="D126" s="108" t="s">
        <v>96</v>
      </c>
      <c r="E126" s="109" t="s">
        <v>80</v>
      </c>
      <c r="F126" s="109">
        <v>12</v>
      </c>
      <c r="G126" s="110">
        <v>400</v>
      </c>
      <c r="H126" s="50" t="s">
        <v>64</v>
      </c>
      <c r="I126" s="110">
        <v>0</v>
      </c>
      <c r="J126" s="110">
        <v>2400</v>
      </c>
      <c r="K126" s="110">
        <v>2400</v>
      </c>
      <c r="L126" s="111">
        <f>SUM(I126:K126)</f>
        <v>4800</v>
      </c>
      <c r="M126" s="31">
        <v>0</v>
      </c>
      <c r="N126" s="31">
        <v>0</v>
      </c>
      <c r="O126" s="31">
        <v>0</v>
      </c>
      <c r="P126" s="31">
        <v>0</v>
      </c>
      <c r="Q126" s="31">
        <v>0</v>
      </c>
      <c r="R126" s="154">
        <v>0</v>
      </c>
      <c r="S126" s="154">
        <v>0</v>
      </c>
      <c r="T126" s="154"/>
      <c r="U126" s="154">
        <v>4800</v>
      </c>
      <c r="V126" s="31">
        <f>SUM(M126:U126)</f>
        <v>4800</v>
      </c>
      <c r="W126" s="31">
        <f>L126-V126</f>
        <v>0</v>
      </c>
    </row>
    <row r="127" spans="1:23" s="7" customFormat="1" x14ac:dyDescent="0.25">
      <c r="A127" s="187"/>
      <c r="B127" s="188"/>
      <c r="C127" s="135" t="s">
        <v>51</v>
      </c>
      <c r="D127" s="136"/>
      <c r="E127" s="137"/>
      <c r="F127" s="137"/>
      <c r="G127" s="138"/>
      <c r="H127" s="68"/>
      <c r="I127" s="70">
        <f t="shared" ref="I127:N127" si="116">SUM(I124:I126)</f>
        <v>16500</v>
      </c>
      <c r="J127" s="70">
        <f t="shared" si="116"/>
        <v>68400</v>
      </c>
      <c r="K127" s="70">
        <f t="shared" si="116"/>
        <v>51900</v>
      </c>
      <c r="L127" s="71">
        <f t="shared" si="116"/>
        <v>204874</v>
      </c>
      <c r="M127" s="33">
        <f t="shared" si="116"/>
        <v>3165.87</v>
      </c>
      <c r="N127" s="33">
        <f t="shared" si="116"/>
        <v>14086.45</v>
      </c>
      <c r="O127" s="33">
        <f t="shared" ref="O127" si="117">SUM(O124:O126)</f>
        <v>7794</v>
      </c>
      <c r="P127" s="33">
        <f t="shared" ref="P127:T127" si="118">SUM(P124:P126)</f>
        <v>11368.79</v>
      </c>
      <c r="Q127" s="33">
        <f t="shared" si="118"/>
        <v>15643.650000000001</v>
      </c>
      <c r="R127" s="33">
        <f t="shared" si="118"/>
        <v>17594.91</v>
      </c>
      <c r="S127" s="33">
        <f t="shared" si="118"/>
        <v>17918.28</v>
      </c>
      <c r="T127" s="33">
        <f t="shared" si="118"/>
        <v>20440.240000000002</v>
      </c>
      <c r="U127" s="33">
        <f t="shared" ref="U127" si="119">SUM(U124:U126)</f>
        <v>16922.72</v>
      </c>
      <c r="V127" s="33">
        <f>SUM(V124:V126)</f>
        <v>124934.91</v>
      </c>
      <c r="W127" s="33">
        <f>SUM(W124:W126)</f>
        <v>79939.09</v>
      </c>
    </row>
    <row r="128" spans="1:23" ht="15" customHeight="1" x14ac:dyDescent="0.25">
      <c r="A128" s="187"/>
      <c r="B128" s="188"/>
      <c r="C128" s="193" t="s">
        <v>52</v>
      </c>
      <c r="D128" s="112" t="s">
        <v>69</v>
      </c>
      <c r="E128" s="113" t="s">
        <v>80</v>
      </c>
      <c r="F128" s="113">
        <v>24</v>
      </c>
      <c r="G128" s="58">
        <v>130</v>
      </c>
      <c r="H128" s="57" t="s">
        <v>52</v>
      </c>
      <c r="I128" s="51">
        <v>1000</v>
      </c>
      <c r="J128" s="51">
        <v>1120</v>
      </c>
      <c r="K128" s="51">
        <v>1000</v>
      </c>
      <c r="L128" s="53">
        <f t="shared" ref="L128:L136" si="120">SUM(I128,J128,K128)</f>
        <v>3120</v>
      </c>
      <c r="M128" s="31"/>
      <c r="N128" s="31">
        <v>39.72</v>
      </c>
      <c r="O128" s="31">
        <v>36</v>
      </c>
      <c r="P128" s="31">
        <v>85.21</v>
      </c>
      <c r="Q128" s="31">
        <v>167.93</v>
      </c>
      <c r="R128" s="154">
        <v>57.6</v>
      </c>
      <c r="S128" s="154">
        <v>8.49</v>
      </c>
      <c r="T128" s="154">
        <v>43.29</v>
      </c>
      <c r="U128" s="154">
        <v>189.7</v>
      </c>
      <c r="V128" s="31">
        <f>SUM(M128:U128)</f>
        <v>627.94000000000005</v>
      </c>
      <c r="W128" s="31">
        <f>L128-V128</f>
        <v>2492.06</v>
      </c>
    </row>
    <row r="129" spans="1:23" x14ac:dyDescent="0.25">
      <c r="A129" s="187"/>
      <c r="B129" s="188"/>
      <c r="C129" s="193"/>
      <c r="D129" s="114" t="s">
        <v>83</v>
      </c>
      <c r="E129" s="113" t="s">
        <v>128</v>
      </c>
      <c r="F129" s="113">
        <v>6</v>
      </c>
      <c r="G129" s="58">
        <v>500</v>
      </c>
      <c r="H129" s="57" t="s">
        <v>52</v>
      </c>
      <c r="I129" s="51">
        <v>500</v>
      </c>
      <c r="J129" s="51">
        <v>1500</v>
      </c>
      <c r="K129" s="51">
        <v>1000</v>
      </c>
      <c r="L129" s="53">
        <v>4300</v>
      </c>
      <c r="M129" s="31">
        <v>133.96</v>
      </c>
      <c r="N129" s="31">
        <v>365.6</v>
      </c>
      <c r="O129" s="31">
        <v>0</v>
      </c>
      <c r="P129" s="31">
        <v>0</v>
      </c>
      <c r="Q129" s="31">
        <v>1210.5999999999999</v>
      </c>
      <c r="R129" s="154">
        <v>0</v>
      </c>
      <c r="S129" s="154">
        <v>0</v>
      </c>
      <c r="T129" s="154"/>
      <c r="U129" s="154">
        <v>698.08</v>
      </c>
      <c r="V129" s="31">
        <f>SUM(M129:U129)</f>
        <v>2408.2399999999998</v>
      </c>
      <c r="W129" s="31">
        <f>L129-V129</f>
        <v>1891.7600000000002</v>
      </c>
    </row>
    <row r="130" spans="1:23" x14ac:dyDescent="0.25">
      <c r="A130" s="187"/>
      <c r="B130" s="188"/>
      <c r="C130" s="193"/>
      <c r="D130" s="112" t="s">
        <v>70</v>
      </c>
      <c r="E130" s="113" t="s">
        <v>85</v>
      </c>
      <c r="F130" s="113">
        <v>16</v>
      </c>
      <c r="G130" s="58">
        <v>250</v>
      </c>
      <c r="H130" s="57" t="s">
        <v>52</v>
      </c>
      <c r="I130" s="58">
        <v>500</v>
      </c>
      <c r="J130" s="58">
        <v>2500</v>
      </c>
      <c r="K130" s="58">
        <v>1000</v>
      </c>
      <c r="L130" s="60">
        <v>5500</v>
      </c>
      <c r="M130" s="32">
        <v>329.12</v>
      </c>
      <c r="N130" s="32">
        <v>614.88</v>
      </c>
      <c r="O130" s="32">
        <v>0</v>
      </c>
      <c r="P130" s="32">
        <v>0</v>
      </c>
      <c r="Q130" s="32">
        <v>2286.08</v>
      </c>
      <c r="R130" s="155">
        <v>0</v>
      </c>
      <c r="S130" s="155">
        <v>0</v>
      </c>
      <c r="T130" s="155"/>
      <c r="U130" s="155"/>
      <c r="V130" s="31">
        <f>SUM(M130:U130)</f>
        <v>3230.08</v>
      </c>
      <c r="W130" s="31">
        <f>L130-V130</f>
        <v>2269.92</v>
      </c>
    </row>
    <row r="131" spans="1:23" s="7" customFormat="1" x14ac:dyDescent="0.25">
      <c r="A131" s="187"/>
      <c r="B131" s="188"/>
      <c r="C131" s="41" t="s">
        <v>53</v>
      </c>
      <c r="D131" s="139"/>
      <c r="E131" s="140"/>
      <c r="F131" s="140"/>
      <c r="G131" s="70"/>
      <c r="H131" s="68"/>
      <c r="I131" s="70">
        <f>SUM(I128:I130)</f>
        <v>2000</v>
      </c>
      <c r="J131" s="70">
        <f>SUM(J128:J130)</f>
        <v>5120</v>
      </c>
      <c r="K131" s="70">
        <f>SUM(K128:K130)</f>
        <v>3000</v>
      </c>
      <c r="L131" s="71">
        <f>SUM(L128:L130)</f>
        <v>12920</v>
      </c>
      <c r="M131" s="33">
        <f>SUM(M128:M130)</f>
        <v>463.08000000000004</v>
      </c>
      <c r="N131" s="33">
        <f t="shared" ref="N131:W131" si="121">SUM(N128:N130)</f>
        <v>1020.2</v>
      </c>
      <c r="O131" s="33">
        <f t="shared" si="121"/>
        <v>36</v>
      </c>
      <c r="P131" s="33">
        <f t="shared" si="121"/>
        <v>85.21</v>
      </c>
      <c r="Q131" s="33">
        <f>SUM(Q128:Q130)</f>
        <v>3664.6099999999997</v>
      </c>
      <c r="R131" s="33">
        <f>SUM(R128:R130)</f>
        <v>57.6</v>
      </c>
      <c r="S131" s="33">
        <f>SUM(S128:S130)</f>
        <v>8.49</v>
      </c>
      <c r="T131" s="33">
        <f>SUM(T128:T130)</f>
        <v>43.29</v>
      </c>
      <c r="U131" s="33">
        <f>SUM(U128:U130)</f>
        <v>887.78</v>
      </c>
      <c r="V131" s="33">
        <f t="shared" si="121"/>
        <v>6266.26</v>
      </c>
      <c r="W131" s="33">
        <f t="shared" si="121"/>
        <v>6653.74</v>
      </c>
    </row>
    <row r="132" spans="1:23" ht="25.5" x14ac:dyDescent="0.25">
      <c r="A132" s="187"/>
      <c r="B132" s="188"/>
      <c r="C132" s="193" t="s">
        <v>54</v>
      </c>
      <c r="D132" s="115" t="s">
        <v>71</v>
      </c>
      <c r="E132" s="61" t="s">
        <v>80</v>
      </c>
      <c r="F132" s="61">
        <v>24</v>
      </c>
      <c r="G132" s="62">
        <v>300</v>
      </c>
      <c r="H132" s="57" t="s">
        <v>62</v>
      </c>
      <c r="I132" s="51">
        <v>900</v>
      </c>
      <c r="J132" s="51">
        <v>3600</v>
      </c>
      <c r="K132" s="51">
        <v>2700</v>
      </c>
      <c r="L132" s="53">
        <f t="shared" si="120"/>
        <v>7200</v>
      </c>
      <c r="M132" s="31">
        <v>254.6</v>
      </c>
      <c r="N132" s="31">
        <v>479</v>
      </c>
      <c r="O132" s="31">
        <v>147</v>
      </c>
      <c r="P132" s="31">
        <v>686.43</v>
      </c>
      <c r="Q132" s="31">
        <v>456.22</v>
      </c>
      <c r="R132" s="154">
        <v>499.53</v>
      </c>
      <c r="S132" s="154">
        <v>594.02</v>
      </c>
      <c r="T132" s="154">
        <v>745.05</v>
      </c>
      <c r="U132" s="154">
        <v>1034.0999999999999</v>
      </c>
      <c r="V132" s="31">
        <f>SUM(M132:U132)</f>
        <v>4895.9499999999989</v>
      </c>
      <c r="W132" s="31">
        <f>L132-V132</f>
        <v>2304.0500000000011</v>
      </c>
    </row>
    <row r="133" spans="1:23" ht="25.5" x14ac:dyDescent="0.25">
      <c r="A133" s="187"/>
      <c r="B133" s="188"/>
      <c r="C133" s="193"/>
      <c r="D133" s="115" t="s">
        <v>72</v>
      </c>
      <c r="E133" s="61" t="s">
        <v>80</v>
      </c>
      <c r="F133" s="61">
        <v>24</v>
      </c>
      <c r="G133" s="62">
        <v>200</v>
      </c>
      <c r="H133" s="57" t="s">
        <v>62</v>
      </c>
      <c r="I133" s="51">
        <v>400</v>
      </c>
      <c r="J133" s="51">
        <v>2400</v>
      </c>
      <c r="K133" s="51">
        <v>2000</v>
      </c>
      <c r="L133" s="53">
        <f t="shared" si="120"/>
        <v>4800</v>
      </c>
      <c r="M133" s="31">
        <v>86.3</v>
      </c>
      <c r="N133" s="31">
        <v>141</v>
      </c>
      <c r="O133" s="31">
        <v>1010.04</v>
      </c>
      <c r="P133" s="31">
        <v>0</v>
      </c>
      <c r="Q133" s="31">
        <v>0</v>
      </c>
      <c r="R133" s="154">
        <v>76.819999999999993</v>
      </c>
      <c r="S133" s="154">
        <v>0</v>
      </c>
      <c r="T133" s="154"/>
      <c r="U133" s="154">
        <v>63</v>
      </c>
      <c r="V133" s="31">
        <f>SUM(M133:U133)</f>
        <v>1377.1599999999999</v>
      </c>
      <c r="W133" s="31">
        <f>L133-V133</f>
        <v>3422.84</v>
      </c>
    </row>
    <row r="134" spans="1:23" ht="25.5" x14ac:dyDescent="0.25">
      <c r="A134" s="187"/>
      <c r="B134" s="188"/>
      <c r="C134" s="193"/>
      <c r="D134" s="115" t="s">
        <v>73</v>
      </c>
      <c r="E134" s="61" t="s">
        <v>80</v>
      </c>
      <c r="F134" s="61">
        <v>24</v>
      </c>
      <c r="G134" s="62">
        <v>150</v>
      </c>
      <c r="H134" s="57" t="s">
        <v>62</v>
      </c>
      <c r="I134" s="58">
        <v>450</v>
      </c>
      <c r="J134" s="58">
        <v>1800</v>
      </c>
      <c r="K134" s="58">
        <v>1350</v>
      </c>
      <c r="L134" s="60">
        <f t="shared" si="120"/>
        <v>3600</v>
      </c>
      <c r="M134" s="32"/>
      <c r="N134" s="32">
        <v>40</v>
      </c>
      <c r="O134" s="32">
        <v>34</v>
      </c>
      <c r="P134" s="32">
        <v>0</v>
      </c>
      <c r="Q134" s="32">
        <v>160.78</v>
      </c>
      <c r="R134" s="155">
        <v>632.91</v>
      </c>
      <c r="S134" s="155">
        <v>424.21</v>
      </c>
      <c r="T134" s="155">
        <v>308.58</v>
      </c>
      <c r="U134" s="155">
        <v>205.72</v>
      </c>
      <c r="V134" s="31">
        <f>SUM(M134:U134)</f>
        <v>1806.1999999999998</v>
      </c>
      <c r="W134" s="31">
        <f>L134-V134</f>
        <v>1793.8000000000002</v>
      </c>
    </row>
    <row r="135" spans="1:23" ht="25.5" x14ac:dyDescent="0.25">
      <c r="A135" s="187"/>
      <c r="B135" s="188"/>
      <c r="C135" s="193"/>
      <c r="D135" s="115" t="s">
        <v>159</v>
      </c>
      <c r="E135" s="61" t="s">
        <v>79</v>
      </c>
      <c r="F135" s="61">
        <v>1</v>
      </c>
      <c r="G135" s="62">
        <v>1700</v>
      </c>
      <c r="H135" s="57" t="s">
        <v>62</v>
      </c>
      <c r="I135" s="58">
        <v>1700</v>
      </c>
      <c r="J135" s="58">
        <v>0</v>
      </c>
      <c r="K135" s="58">
        <v>0</v>
      </c>
      <c r="L135" s="60">
        <f t="shared" si="120"/>
        <v>1700</v>
      </c>
      <c r="M135" s="32">
        <v>0</v>
      </c>
      <c r="N135" s="32">
        <v>0</v>
      </c>
      <c r="O135" s="32">
        <v>0</v>
      </c>
      <c r="P135" s="32">
        <v>1061.9100000000001</v>
      </c>
      <c r="Q135" s="32">
        <v>0</v>
      </c>
      <c r="R135" s="155">
        <v>0</v>
      </c>
      <c r="S135" s="155">
        <v>0</v>
      </c>
      <c r="T135" s="155"/>
      <c r="U135" s="155"/>
      <c r="V135" s="31">
        <f>SUM(M135:U135)</f>
        <v>1061.9100000000001</v>
      </c>
      <c r="W135" s="31">
        <f>L135-V135</f>
        <v>638.08999999999992</v>
      </c>
    </row>
    <row r="136" spans="1:23" ht="25.5" x14ac:dyDescent="0.25">
      <c r="A136" s="187"/>
      <c r="B136" s="188"/>
      <c r="C136" s="193"/>
      <c r="D136" s="115" t="s">
        <v>74</v>
      </c>
      <c r="E136" s="61" t="s">
        <v>82</v>
      </c>
      <c r="F136" s="61">
        <v>1</v>
      </c>
      <c r="G136" s="62">
        <v>2399</v>
      </c>
      <c r="H136" s="57" t="s">
        <v>62</v>
      </c>
      <c r="I136" s="58">
        <v>299</v>
      </c>
      <c r="J136" s="58">
        <v>1200</v>
      </c>
      <c r="K136" s="58">
        <v>900</v>
      </c>
      <c r="L136" s="60">
        <f t="shared" si="120"/>
        <v>2399</v>
      </c>
      <c r="M136" s="32">
        <v>0</v>
      </c>
      <c r="N136" s="32">
        <v>0</v>
      </c>
      <c r="O136" s="32">
        <v>0</v>
      </c>
      <c r="P136" s="32">
        <v>64.58</v>
      </c>
      <c r="Q136" s="32">
        <v>734.85</v>
      </c>
      <c r="R136" s="155">
        <v>0</v>
      </c>
      <c r="S136" s="155">
        <v>0</v>
      </c>
      <c r="T136" s="155">
        <v>508.55</v>
      </c>
      <c r="U136" s="155">
        <v>495.48</v>
      </c>
      <c r="V136" s="31">
        <f>SUM(M136:U136)</f>
        <v>1803.46</v>
      </c>
      <c r="W136" s="31">
        <f>L136-V136</f>
        <v>595.54</v>
      </c>
    </row>
    <row r="137" spans="1:23" s="7" customFormat="1" x14ac:dyDescent="0.25">
      <c r="A137" s="187"/>
      <c r="B137" s="188"/>
      <c r="C137" s="41" t="s">
        <v>55</v>
      </c>
      <c r="D137" s="141"/>
      <c r="E137" s="142"/>
      <c r="F137" s="142"/>
      <c r="G137" s="143"/>
      <c r="H137" s="68"/>
      <c r="I137" s="70">
        <f>SUM(I132:I136)</f>
        <v>3749</v>
      </c>
      <c r="J137" s="70">
        <f>SUM(J132:J136)</f>
        <v>9000</v>
      </c>
      <c r="K137" s="70">
        <f>SUM(K132:K136)</f>
        <v>6950</v>
      </c>
      <c r="L137" s="71">
        <f>SUM(I137,J137,K137)</f>
        <v>19699</v>
      </c>
      <c r="M137" s="33">
        <f t="shared" ref="M137" si="122">SUM(M132:M136)</f>
        <v>340.9</v>
      </c>
      <c r="N137" s="33">
        <f t="shared" ref="N137:P137" si="123">SUM(N132:N136)</f>
        <v>660</v>
      </c>
      <c r="O137" s="33">
        <f t="shared" si="123"/>
        <v>1191.04</v>
      </c>
      <c r="P137" s="33">
        <f t="shared" si="123"/>
        <v>1812.92</v>
      </c>
      <c r="Q137" s="33">
        <f t="shared" ref="Q137:U137" si="124">SUM(Q132:Q136)</f>
        <v>1351.85</v>
      </c>
      <c r="R137" s="33">
        <f t="shared" si="124"/>
        <v>1209.2599999999998</v>
      </c>
      <c r="S137" s="33">
        <f t="shared" si="124"/>
        <v>1018.23</v>
      </c>
      <c r="T137" s="33">
        <f t="shared" si="124"/>
        <v>1562.1799999999998</v>
      </c>
      <c r="U137" s="33">
        <f t="shared" si="124"/>
        <v>1798.3</v>
      </c>
      <c r="V137" s="33">
        <f>SUM(V132:V136)</f>
        <v>10944.68</v>
      </c>
      <c r="W137" s="33">
        <f>SUM(W132:W136)</f>
        <v>8754.3200000000015</v>
      </c>
    </row>
    <row r="138" spans="1:23" x14ac:dyDescent="0.25">
      <c r="A138" s="187"/>
      <c r="B138" s="188"/>
      <c r="C138" s="179" t="s">
        <v>161</v>
      </c>
      <c r="D138" s="57" t="s">
        <v>134</v>
      </c>
      <c r="E138" s="61" t="s">
        <v>82</v>
      </c>
      <c r="F138" s="61">
        <v>1</v>
      </c>
      <c r="G138" s="62">
        <v>4250</v>
      </c>
      <c r="H138" s="57" t="s">
        <v>63</v>
      </c>
      <c r="I138" s="58">
        <v>250</v>
      </c>
      <c r="J138" s="58">
        <v>2000</v>
      </c>
      <c r="K138" s="58">
        <v>2000</v>
      </c>
      <c r="L138" s="60">
        <f>SUM(I138:K138)</f>
        <v>4250</v>
      </c>
      <c r="M138" s="32">
        <v>0</v>
      </c>
      <c r="N138" s="32">
        <v>0</v>
      </c>
      <c r="O138" s="32">
        <v>0</v>
      </c>
      <c r="P138" s="32">
        <v>0</v>
      </c>
      <c r="Q138" s="32">
        <v>0</v>
      </c>
      <c r="R138" s="155">
        <v>0</v>
      </c>
      <c r="S138" s="155">
        <v>0</v>
      </c>
      <c r="T138" s="155"/>
      <c r="U138" s="155"/>
      <c r="V138" s="31">
        <f>SUM(M138:U138)</f>
        <v>0</v>
      </c>
      <c r="W138" s="31">
        <f>L138-V138</f>
        <v>4250</v>
      </c>
    </row>
    <row r="139" spans="1:23" x14ac:dyDescent="0.25">
      <c r="A139" s="187"/>
      <c r="B139" s="188"/>
      <c r="C139" s="180"/>
      <c r="D139" s="57" t="s">
        <v>135</v>
      </c>
      <c r="E139" s="61" t="s">
        <v>82</v>
      </c>
      <c r="F139" s="61">
        <v>1</v>
      </c>
      <c r="G139" s="62">
        <v>8500</v>
      </c>
      <c r="H139" s="57" t="s">
        <v>63</v>
      </c>
      <c r="I139" s="58">
        <v>500</v>
      </c>
      <c r="J139" s="58">
        <v>4000</v>
      </c>
      <c r="K139" s="58">
        <v>4000</v>
      </c>
      <c r="L139" s="60">
        <f>SUM(I139:K139)</f>
        <v>8500</v>
      </c>
      <c r="M139" s="32">
        <v>0</v>
      </c>
      <c r="N139" s="32">
        <v>535.04999999999995</v>
      </c>
      <c r="O139" s="32">
        <v>0</v>
      </c>
      <c r="P139" s="32">
        <v>0</v>
      </c>
      <c r="Q139" s="32">
        <v>0</v>
      </c>
      <c r="R139" s="155">
        <v>0</v>
      </c>
      <c r="S139" s="155">
        <v>0</v>
      </c>
      <c r="T139" s="155"/>
      <c r="U139" s="155"/>
      <c r="V139" s="31">
        <f t="shared" ref="V139:V140" si="125">SUM(M139:U139)</f>
        <v>535.04999999999995</v>
      </c>
      <c r="W139" s="31">
        <f>L139-V139</f>
        <v>7964.95</v>
      </c>
    </row>
    <row r="140" spans="1:23" x14ac:dyDescent="0.25">
      <c r="A140" s="187"/>
      <c r="B140" s="188"/>
      <c r="C140" s="181"/>
      <c r="D140" s="57" t="s">
        <v>136</v>
      </c>
      <c r="E140" s="61" t="s">
        <v>82</v>
      </c>
      <c r="F140" s="61">
        <v>1</v>
      </c>
      <c r="G140" s="62">
        <v>11500</v>
      </c>
      <c r="H140" s="57" t="s">
        <v>63</v>
      </c>
      <c r="I140" s="58">
        <v>0</v>
      </c>
      <c r="J140" s="58">
        <v>4500</v>
      </c>
      <c r="K140" s="58">
        <v>6000</v>
      </c>
      <c r="L140" s="60">
        <f>SUM(I140:K140)</f>
        <v>10500</v>
      </c>
      <c r="M140" s="32">
        <v>0</v>
      </c>
      <c r="N140" s="32">
        <v>0</v>
      </c>
      <c r="O140" s="32">
        <v>0</v>
      </c>
      <c r="P140" s="32">
        <v>277.16000000000003</v>
      </c>
      <c r="Q140" s="32">
        <v>100.21</v>
      </c>
      <c r="R140" s="155">
        <v>155.12</v>
      </c>
      <c r="S140" s="155">
        <v>371.77</v>
      </c>
      <c r="T140" s="155"/>
      <c r="U140" s="155">
        <v>520.83000000000004</v>
      </c>
      <c r="V140" s="31">
        <f t="shared" si="125"/>
        <v>1425.0900000000001</v>
      </c>
      <c r="W140" s="31">
        <f>L140-V140</f>
        <v>9074.91</v>
      </c>
    </row>
    <row r="141" spans="1:23" s="7" customFormat="1" x14ac:dyDescent="0.25">
      <c r="A141" s="187"/>
      <c r="B141" s="188"/>
      <c r="C141" s="177" t="s">
        <v>160</v>
      </c>
      <c r="D141" s="178"/>
      <c r="E141" s="95"/>
      <c r="F141" s="95"/>
      <c r="G141" s="82"/>
      <c r="H141" s="68"/>
      <c r="I141" s="70">
        <f>SUM(I138:I140)</f>
        <v>750</v>
      </c>
      <c r="J141" s="70">
        <f t="shared" ref="J141:K141" si="126">SUM(J138:J140)</f>
        <v>10500</v>
      </c>
      <c r="K141" s="70">
        <f t="shared" si="126"/>
        <v>12000</v>
      </c>
      <c r="L141" s="71">
        <f>SUM(I141,J141,K141)</f>
        <v>23250</v>
      </c>
      <c r="M141" s="33">
        <f t="shared" ref="M141" si="127">SUM(M138:M140)</f>
        <v>0</v>
      </c>
      <c r="N141" s="33">
        <f t="shared" ref="N141:Q141" si="128">SUM(N138:N140)</f>
        <v>535.04999999999995</v>
      </c>
      <c r="O141" s="33">
        <f t="shared" si="128"/>
        <v>0</v>
      </c>
      <c r="P141" s="33">
        <f t="shared" si="128"/>
        <v>277.16000000000003</v>
      </c>
      <c r="Q141" s="33">
        <f t="shared" si="128"/>
        <v>100.21</v>
      </c>
      <c r="R141" s="33">
        <f t="shared" ref="R141:T141" si="129">SUM(R138:R140)</f>
        <v>155.12</v>
      </c>
      <c r="S141" s="33">
        <f t="shared" si="129"/>
        <v>371.77</v>
      </c>
      <c r="T141" s="33">
        <f t="shared" si="129"/>
        <v>0</v>
      </c>
      <c r="U141" s="33">
        <f t="shared" ref="U141" si="130">SUM(U138:U140)</f>
        <v>520.83000000000004</v>
      </c>
      <c r="V141" s="33">
        <f>SUM(V138:V140)</f>
        <v>1960.14</v>
      </c>
      <c r="W141" s="33">
        <f>SUM(W138:W140)</f>
        <v>21289.86</v>
      </c>
    </row>
    <row r="142" spans="1:23" x14ac:dyDescent="0.25">
      <c r="A142" s="189"/>
      <c r="B142" s="190"/>
      <c r="C142" s="78" t="s">
        <v>56</v>
      </c>
      <c r="D142" s="84"/>
      <c r="E142" s="85"/>
      <c r="F142" s="85"/>
      <c r="G142" s="103"/>
      <c r="H142" s="79"/>
      <c r="I142" s="80">
        <f>SUM(I127,I131,I137,I141)</f>
        <v>22999</v>
      </c>
      <c r="J142" s="80">
        <f t="shared" ref="J142" si="131">SUM(J127,J131,J137,J141)</f>
        <v>93020</v>
      </c>
      <c r="K142" s="80">
        <f>SUM(K127,K131,K137,K141)</f>
        <v>73850</v>
      </c>
      <c r="L142" s="81">
        <f>SUM(L127+L131+L137+L141)</f>
        <v>260743</v>
      </c>
      <c r="M142" s="40">
        <f t="shared" ref="M142" si="132">SUM(M127,M131,M137,M141)</f>
        <v>3969.85</v>
      </c>
      <c r="N142" s="40">
        <f t="shared" ref="N142:P142" si="133">SUM(N127,N131,N137,N141)</f>
        <v>16301.7</v>
      </c>
      <c r="O142" s="40">
        <f t="shared" si="133"/>
        <v>9021.0400000000009</v>
      </c>
      <c r="P142" s="40">
        <f t="shared" si="133"/>
        <v>13544.08</v>
      </c>
      <c r="Q142" s="40">
        <f t="shared" ref="Q142:U142" si="134">SUM(Q127,Q131,Q137,Q141)</f>
        <v>20760.32</v>
      </c>
      <c r="R142" s="40">
        <f t="shared" si="134"/>
        <v>19016.889999999996</v>
      </c>
      <c r="S142" s="40">
        <f t="shared" si="134"/>
        <v>19316.77</v>
      </c>
      <c r="T142" s="40">
        <f t="shared" si="134"/>
        <v>22045.710000000003</v>
      </c>
      <c r="U142" s="40">
        <f t="shared" si="134"/>
        <v>20129.63</v>
      </c>
      <c r="V142" s="116">
        <f>SUM(V127,V131,V137,V141)</f>
        <v>144105.99000000002</v>
      </c>
      <c r="W142" s="116">
        <f>SUM(W127,W131,W137,W141)</f>
        <v>116637.01000000001</v>
      </c>
    </row>
    <row r="143" spans="1:23" s="24" customFormat="1" ht="15.75" x14ac:dyDescent="0.25">
      <c r="A143" s="194" t="s">
        <v>57</v>
      </c>
      <c r="B143" s="195"/>
      <c r="C143" s="195"/>
      <c r="D143" s="196"/>
      <c r="E143" s="117"/>
      <c r="F143" s="117"/>
      <c r="G143" s="117"/>
      <c r="H143" s="117"/>
      <c r="I143" s="118">
        <f>SUM(I64,I83,I98,I122,I142)</f>
        <v>31999</v>
      </c>
      <c r="J143" s="118">
        <f>SUM(J64,J83,J98,J122,J142)</f>
        <v>755375</v>
      </c>
      <c r="K143" s="118">
        <f>SUM(K64,K83,K98,K122,K142)</f>
        <v>236450</v>
      </c>
      <c r="L143" s="119">
        <f>L123+L142</f>
        <v>1300098</v>
      </c>
      <c r="M143" s="120">
        <f t="shared" ref="M143:Q143" si="135">SUM(M64,M83,M98,M122,M142)</f>
        <v>3969.85</v>
      </c>
      <c r="N143" s="120">
        <f t="shared" si="135"/>
        <v>16826.7</v>
      </c>
      <c r="O143" s="120">
        <f t="shared" si="135"/>
        <v>21100.84</v>
      </c>
      <c r="P143" s="120">
        <f>SUM(P64,P83,P98,P122,P142)</f>
        <v>44427.990000000005</v>
      </c>
      <c r="Q143" s="120">
        <f t="shared" si="135"/>
        <v>233700.53</v>
      </c>
      <c r="R143" s="157">
        <f t="shared" ref="R143:S143" si="136">SUM(R64,R83,R98,R122,R142)</f>
        <v>77643.5</v>
      </c>
      <c r="S143" s="157">
        <f t="shared" si="136"/>
        <v>65321</v>
      </c>
      <c r="T143" s="157">
        <f>SUM(T64,T83,T98,T122,T142)</f>
        <v>324881.63</v>
      </c>
      <c r="U143" s="157">
        <f>SUM(U64,U83,U98,U122,U142)</f>
        <v>50068.539999999994</v>
      </c>
      <c r="V143" s="129">
        <f>SUM(V64,V83,V98,V122,V142)</f>
        <v>837940.58000000007</v>
      </c>
      <c r="W143" s="130">
        <f>L143-V143</f>
        <v>462157.41999999993</v>
      </c>
    </row>
    <row r="144" spans="1:23" x14ac:dyDescent="0.25">
      <c r="A144" s="197" t="s">
        <v>58</v>
      </c>
      <c r="B144" s="198"/>
      <c r="C144" s="198"/>
      <c r="D144" s="199"/>
      <c r="E144" s="121"/>
      <c r="F144" s="121"/>
      <c r="G144" s="121"/>
      <c r="H144" s="57" t="s">
        <v>61</v>
      </c>
      <c r="I144" s="58">
        <f>I143*0.07</f>
        <v>2239.9300000000003</v>
      </c>
      <c r="J144" s="58">
        <f t="shared" ref="J144:V144" si="137">J143*0.07</f>
        <v>52876.250000000007</v>
      </c>
      <c r="K144" s="58">
        <f t="shared" si="137"/>
        <v>16551.5</v>
      </c>
      <c r="L144" s="60">
        <f>L143*7%</f>
        <v>91006.860000000015</v>
      </c>
      <c r="M144" s="122">
        <f t="shared" ref="M144" si="138">M143*0.07</f>
        <v>277.8895</v>
      </c>
      <c r="N144" s="122">
        <f t="shared" ref="N144:Q144" si="139">N143*0.07</f>
        <v>1177.8690000000001</v>
      </c>
      <c r="O144" s="122">
        <f t="shared" si="139"/>
        <v>1477.0588000000002</v>
      </c>
      <c r="P144" s="122">
        <f t="shared" si="139"/>
        <v>3109.9593000000004</v>
      </c>
      <c r="Q144" s="122">
        <f t="shared" si="139"/>
        <v>16359.037100000001</v>
      </c>
      <c r="R144" s="158">
        <f t="shared" ref="R144:T144" si="140">R143*0.07</f>
        <v>5435.0450000000001</v>
      </c>
      <c r="S144" s="158">
        <f t="shared" si="140"/>
        <v>4572.47</v>
      </c>
      <c r="T144" s="158">
        <f t="shared" si="140"/>
        <v>22741.714100000001</v>
      </c>
      <c r="U144" s="158">
        <f>U143*0.07</f>
        <v>3504.7977999999998</v>
      </c>
      <c r="V144" s="131">
        <f t="shared" si="137"/>
        <v>58655.84060000001</v>
      </c>
      <c r="W144" s="31">
        <f>L144-V144</f>
        <v>32351.019400000005</v>
      </c>
    </row>
    <row r="145" spans="1:23" s="24" customFormat="1" ht="15.75" x14ac:dyDescent="0.25">
      <c r="A145" s="182" t="s">
        <v>59</v>
      </c>
      <c r="B145" s="183"/>
      <c r="C145" s="183"/>
      <c r="D145" s="184"/>
      <c r="E145" s="123"/>
      <c r="F145" s="123"/>
      <c r="G145" s="123"/>
      <c r="H145" s="123"/>
      <c r="I145" s="80">
        <f>SUM(I143,I144)</f>
        <v>34238.93</v>
      </c>
      <c r="J145" s="80">
        <f>SUM(J143,J144)</f>
        <v>808251.25</v>
      </c>
      <c r="K145" s="80">
        <f>SUM(K143,K144)</f>
        <v>253001.5</v>
      </c>
      <c r="L145" s="133">
        <f>SUM(L143:L144)</f>
        <v>1391104.86</v>
      </c>
      <c r="M145" s="124">
        <f t="shared" ref="M145" si="141">SUM(M143,M144)</f>
        <v>4247.7394999999997</v>
      </c>
      <c r="N145" s="124">
        <f t="shared" ref="N145:Q145" si="142">SUM(N143,N144)</f>
        <v>18004.569</v>
      </c>
      <c r="O145" s="124">
        <f t="shared" si="142"/>
        <v>22577.898799999999</v>
      </c>
      <c r="P145" s="124">
        <f t="shared" si="142"/>
        <v>47537.949300000007</v>
      </c>
      <c r="Q145" s="124">
        <f t="shared" si="142"/>
        <v>250059.56709999999</v>
      </c>
      <c r="R145" s="124">
        <f t="shared" ref="R145:T145" si="143">SUM(R143,R144)</f>
        <v>83078.544999999998</v>
      </c>
      <c r="S145" s="124">
        <f t="shared" si="143"/>
        <v>69893.47</v>
      </c>
      <c r="T145" s="124">
        <f t="shared" si="143"/>
        <v>347623.34409999999</v>
      </c>
      <c r="U145" s="124">
        <f t="shared" ref="U145" si="144">SUM(U143,U144)</f>
        <v>53573.337799999994</v>
      </c>
      <c r="V145" s="134">
        <f>SUM(V143,V144)</f>
        <v>896596.42060000007</v>
      </c>
      <c r="W145" s="134">
        <f>SUM(W143,W144)</f>
        <v>494508.43939999992</v>
      </c>
    </row>
    <row r="146" spans="1:23" x14ac:dyDescent="0.25">
      <c r="A146" s="125"/>
      <c r="B146" s="125"/>
      <c r="C146" s="125"/>
      <c r="D146" s="125"/>
      <c r="E146" s="125"/>
      <c r="F146" s="125"/>
      <c r="G146" s="125"/>
      <c r="H146" s="125"/>
      <c r="I146" s="126"/>
      <c r="J146" s="127"/>
      <c r="K146" s="127"/>
      <c r="L146" s="127"/>
      <c r="M146" s="132">
        <f>M145/K145</f>
        <v>1.6789384647917106E-2</v>
      </c>
      <c r="N146" s="132">
        <f>N145/L145</f>
        <v>1.2942639708698881E-2</v>
      </c>
      <c r="O146" s="132">
        <f>O145/L145</f>
        <v>1.6230191877843053E-2</v>
      </c>
      <c r="P146" s="132">
        <f>P145/L145</f>
        <v>3.4172800819630526E-2</v>
      </c>
      <c r="Q146" s="132">
        <f>Q145/L145</f>
        <v>0.17975608761801032</v>
      </c>
      <c r="R146" s="159">
        <f>R145/L145</f>
        <v>5.9721267166013635E-2</v>
      </c>
      <c r="S146" s="159">
        <f>S145/L145</f>
        <v>5.0243135517476369E-2</v>
      </c>
      <c r="T146" s="159">
        <f>T145/L145</f>
        <v>0.24989010828414471</v>
      </c>
      <c r="U146" s="159">
        <f>U145/L145</f>
        <v>3.8511358374522527E-2</v>
      </c>
      <c r="V146" s="132">
        <f>V145/L145</f>
        <v>0.64452108994860391</v>
      </c>
      <c r="W146" s="125"/>
    </row>
  </sheetData>
  <autoFilter ref="A12:L146" xr:uid="{00000000-0009-0000-0000-000000000000}">
    <filterColumn colId="0" showButton="0"/>
  </autoFilter>
  <mergeCells count="45">
    <mergeCell ref="A7:W7"/>
    <mergeCell ref="A8:W8"/>
    <mergeCell ref="A5:C5"/>
    <mergeCell ref="A12:B12"/>
    <mergeCell ref="A9:W9"/>
    <mergeCell ref="A10:W10"/>
    <mergeCell ref="A13:A64"/>
    <mergeCell ref="C52:C53"/>
    <mergeCell ref="C55:C56"/>
    <mergeCell ref="B52:B63"/>
    <mergeCell ref="B13:B51"/>
    <mergeCell ref="C37:C41"/>
    <mergeCell ref="C13:C29"/>
    <mergeCell ref="C58:C61"/>
    <mergeCell ref="C43:C49"/>
    <mergeCell ref="A1:L1"/>
    <mergeCell ref="A2:L2"/>
    <mergeCell ref="A3:C3"/>
    <mergeCell ref="D3:L3"/>
    <mergeCell ref="A4:C4"/>
    <mergeCell ref="D4:L4"/>
    <mergeCell ref="C118:C119"/>
    <mergeCell ref="C99:C105"/>
    <mergeCell ref="C141:D141"/>
    <mergeCell ref="C138:C140"/>
    <mergeCell ref="A145:D145"/>
    <mergeCell ref="A124:B142"/>
    <mergeCell ref="C124:C126"/>
    <mergeCell ref="C128:C130"/>
    <mergeCell ref="C132:C136"/>
    <mergeCell ref="A143:D143"/>
    <mergeCell ref="A144:D144"/>
    <mergeCell ref="A99:A122"/>
    <mergeCell ref="B116:B121"/>
    <mergeCell ref="B99:B115"/>
    <mergeCell ref="C107:C113"/>
    <mergeCell ref="C90:C95"/>
    <mergeCell ref="C78:C80"/>
    <mergeCell ref="A84:A98"/>
    <mergeCell ref="B84:B98"/>
    <mergeCell ref="B65:B83"/>
    <mergeCell ref="C74:C76"/>
    <mergeCell ref="A65:A83"/>
    <mergeCell ref="C65:C72"/>
    <mergeCell ref="C84:C88"/>
  </mergeCells>
  <pageMargins left="0.7" right="0.7" top="0.75" bottom="0.75" header="0.3" footer="0.3"/>
  <pageSetup paperSize="9" orientation="portrait" r:id="rId1"/>
  <ignoredErrors>
    <ignoredError sqref="J36:K36" formulaRange="1"/>
    <ignoredError sqref="J42 J57" 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'Budget by UNDG Category'!#REF!</xm:f>
          </x14:formula1>
          <xm:sqref>H127 H131 H137</xm:sqref>
        </x14:dataValidation>
        <x14:dataValidation type="list" allowBlank="1" showInputMessage="1" showErrorMessage="1" xr:uid="{00000000-0002-0000-0000-000001000000}">
          <x14:formula1>
            <xm:f>'Budget by UNDG Category'!$A$7:$A$15</xm:f>
          </x14:formula1>
          <xm:sqref>H124:H126 H144 H52:H53 H55:H56 H138:H141 H37:H41 H116 H99:H105 H128:H130 H132:H136 H58:H61 H90:H95 H78:H80 H84:H88 H74:H76 H65:H72 H107:H113 H118:H119 H13:H35 H43 H48:H49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workbookViewId="0">
      <selection activeCell="A9" sqref="A9"/>
    </sheetView>
  </sheetViews>
  <sheetFormatPr defaultRowHeight="15" x14ac:dyDescent="0.25"/>
  <cols>
    <col min="1" max="1" width="51.7109375" customWidth="1"/>
    <col min="2" max="2" width="11.7109375" customWidth="1"/>
    <col min="3" max="3" width="13.28515625" customWidth="1"/>
    <col min="4" max="4" width="13.7109375" customWidth="1"/>
    <col min="5" max="5" width="15.28515625" style="7" customWidth="1"/>
  </cols>
  <sheetData>
    <row r="1" spans="1:8" ht="33" customHeight="1" x14ac:dyDescent="0.25">
      <c r="A1" s="200" t="s">
        <v>66</v>
      </c>
      <c r="B1" s="201"/>
      <c r="C1" s="201"/>
      <c r="D1" s="201"/>
      <c r="E1" s="201"/>
      <c r="F1" s="13"/>
      <c r="G1" s="13"/>
      <c r="H1" s="13"/>
    </row>
    <row r="2" spans="1:8" ht="42.6" customHeight="1" x14ac:dyDescent="0.25">
      <c r="A2" s="228" t="s">
        <v>97</v>
      </c>
      <c r="B2" s="229"/>
      <c r="C2" s="229"/>
      <c r="D2" s="229"/>
      <c r="E2" s="229"/>
      <c r="F2" s="13"/>
      <c r="G2" s="13"/>
      <c r="H2" s="13"/>
    </row>
    <row r="3" spans="1:8" ht="21" customHeight="1" x14ac:dyDescent="0.25">
      <c r="A3" s="205" t="s">
        <v>87</v>
      </c>
      <c r="B3" s="206"/>
      <c r="C3" s="206"/>
      <c r="D3" s="206"/>
      <c r="E3" s="206"/>
      <c r="F3" s="12"/>
      <c r="G3" s="11"/>
      <c r="H3" s="11"/>
    </row>
    <row r="4" spans="1:8" ht="20.25" customHeight="1" x14ac:dyDescent="0.25">
      <c r="A4" s="208" t="s">
        <v>163</v>
      </c>
      <c r="B4" s="209"/>
      <c r="C4" s="209"/>
      <c r="D4" s="209"/>
      <c r="E4" s="209"/>
      <c r="F4" s="12"/>
      <c r="G4" s="11"/>
      <c r="H4" s="11"/>
    </row>
    <row r="6" spans="1:8" x14ac:dyDescent="0.25">
      <c r="A6" s="10" t="s">
        <v>65</v>
      </c>
      <c r="B6" s="10">
        <v>2023</v>
      </c>
      <c r="C6" s="10">
        <v>2024</v>
      </c>
      <c r="D6" s="10">
        <v>2025</v>
      </c>
      <c r="E6" s="10" t="s">
        <v>60</v>
      </c>
    </row>
    <row r="7" spans="1:8" x14ac:dyDescent="0.25">
      <c r="A7" s="9" t="s">
        <v>165</v>
      </c>
      <c r="B7" s="21">
        <v>16500</v>
      </c>
      <c r="C7" s="21">
        <v>68400</v>
      </c>
      <c r="D7" s="21">
        <v>51900</v>
      </c>
      <c r="E7" s="22">
        <f>SUM(B7:D7)</f>
        <v>136800</v>
      </c>
    </row>
    <row r="8" spans="1:8" x14ac:dyDescent="0.25">
      <c r="A8" s="9" t="s">
        <v>166</v>
      </c>
      <c r="B8" s="21">
        <v>0</v>
      </c>
      <c r="C8" s="21">
        <v>0</v>
      </c>
      <c r="D8" s="21">
        <v>0</v>
      </c>
      <c r="E8" s="22">
        <f t="shared" ref="E8:E13" si="0">SUM(B8:D8)</f>
        <v>0</v>
      </c>
    </row>
    <row r="9" spans="1:8" ht="15.4" customHeight="1" x14ac:dyDescent="0.25">
      <c r="A9" s="9" t="s">
        <v>167</v>
      </c>
      <c r="B9" s="21">
        <v>0</v>
      </c>
      <c r="C9" s="21">
        <v>0</v>
      </c>
      <c r="D9" s="21">
        <v>0</v>
      </c>
      <c r="E9" s="22">
        <f t="shared" si="0"/>
        <v>0</v>
      </c>
    </row>
    <row r="10" spans="1:8" x14ac:dyDescent="0.25">
      <c r="A10" s="9" t="s">
        <v>168</v>
      </c>
      <c r="B10" s="21">
        <v>9750</v>
      </c>
      <c r="C10" s="21">
        <v>638755</v>
      </c>
      <c r="D10" s="21">
        <v>105600</v>
      </c>
      <c r="E10" s="22">
        <f t="shared" si="0"/>
        <v>754105</v>
      </c>
    </row>
    <row r="11" spans="1:8" x14ac:dyDescent="0.25">
      <c r="A11" s="9" t="s">
        <v>169</v>
      </c>
      <c r="B11" s="21">
        <v>2000</v>
      </c>
      <c r="C11" s="21">
        <v>35120</v>
      </c>
      <c r="D11" s="21">
        <v>72000</v>
      </c>
      <c r="E11" s="22">
        <f t="shared" si="0"/>
        <v>109120</v>
      </c>
    </row>
    <row r="12" spans="1:8" ht="15" customHeight="1" x14ac:dyDescent="0.25">
      <c r="A12" s="9" t="s">
        <v>170</v>
      </c>
      <c r="B12" s="21">
        <v>0</v>
      </c>
      <c r="C12" s="21">
        <v>0</v>
      </c>
      <c r="D12" s="21">
        <v>0</v>
      </c>
      <c r="E12" s="22">
        <f t="shared" si="0"/>
        <v>0</v>
      </c>
    </row>
    <row r="13" spans="1:8" ht="17.649999999999999" customHeight="1" x14ac:dyDescent="0.25">
      <c r="A13" s="9" t="s">
        <v>171</v>
      </c>
      <c r="B13" s="21">
        <v>3749</v>
      </c>
      <c r="C13" s="21">
        <v>9000</v>
      </c>
      <c r="D13" s="21">
        <v>6950</v>
      </c>
      <c r="E13" s="22">
        <f t="shared" si="0"/>
        <v>19699</v>
      </c>
    </row>
    <row r="14" spans="1:8" s="7" customFormat="1" x14ac:dyDescent="0.25">
      <c r="A14" s="26" t="s">
        <v>172</v>
      </c>
      <c r="B14" s="22">
        <f>SUM(B7:B13)</f>
        <v>31999</v>
      </c>
      <c r="C14" s="22">
        <f>SUM(C7:C13)</f>
        <v>751275</v>
      </c>
      <c r="D14" s="22">
        <f>SUM(D7:D13)</f>
        <v>236450</v>
      </c>
      <c r="E14" s="22">
        <f>SUM(E7:E13)</f>
        <v>1019724</v>
      </c>
      <c r="F14" s="27"/>
    </row>
    <row r="15" spans="1:8" x14ac:dyDescent="0.25">
      <c r="A15" s="9" t="s">
        <v>173</v>
      </c>
      <c r="B15" s="21">
        <f>B14*0.07</f>
        <v>2239.9300000000003</v>
      </c>
      <c r="C15" s="21">
        <f t="shared" ref="C15:D15" si="1">C14*0.07</f>
        <v>52589.250000000007</v>
      </c>
      <c r="D15" s="21">
        <f t="shared" si="1"/>
        <v>16551.5</v>
      </c>
      <c r="E15" s="22">
        <f>E14*0.07</f>
        <v>71380.680000000008</v>
      </c>
    </row>
    <row r="16" spans="1:8" s="7" customFormat="1" x14ac:dyDescent="0.25">
      <c r="A16" s="8" t="s">
        <v>164</v>
      </c>
      <c r="B16" s="22">
        <f>SUM(B14:B15)</f>
        <v>34238.93</v>
      </c>
      <c r="C16" s="22">
        <f>SUM(C14:C15)</f>
        <v>803864.25</v>
      </c>
      <c r="D16" s="22">
        <f>SUM(D14:D15)</f>
        <v>253001.5</v>
      </c>
      <c r="E16" s="22">
        <f>SUM(E14:E15)</f>
        <v>1091104.68</v>
      </c>
    </row>
  </sheetData>
  <mergeCells count="4">
    <mergeCell ref="A2:E2"/>
    <mergeCell ref="A3:E3"/>
    <mergeCell ref="A4:E4"/>
    <mergeCell ref="A1:E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5F732436BD414ABE4F9007290F88BC" ma:contentTypeVersion="33" ma:contentTypeDescription="Create a new document." ma:contentTypeScope="" ma:versionID="23f63ffa27798759ab7c62b38a6a6eea">
  <xsd:schema xmlns:xsd="http://www.w3.org/2001/XMLSchema" xmlns:xs="http://www.w3.org/2001/XMLSchema" xmlns:p="http://schemas.microsoft.com/office/2006/metadata/properties" xmlns:ns2="d9cf0e28-81d2-4dc7-8b10-820d80ed680d" xmlns:ns3="e91d5986-7c29-4ed1-8a54-b8fb378ed474" targetNamespace="http://schemas.microsoft.com/office/2006/metadata/properties" ma:root="true" ma:fieldsID="d59d36cbda82e4f1c8ad758894042b54" ns2:_="" ns3:_="">
    <xsd:import namespace="d9cf0e28-81d2-4dc7-8b10-820d80ed680d"/>
    <xsd:import namespace="e91d5986-7c29-4ed1-8a54-b8fb378ed474"/>
    <xsd:element name="properties">
      <xsd:complexType>
        <xsd:sequence>
          <xsd:element name="documentManagement">
            <xsd:complexType>
              <xsd:all>
                <xsd:element ref="ns2:DocumentCategory" minOccurs="0"/>
                <xsd:element ref="ns2:DocumentType" minOccurs="0"/>
                <xsd:element ref="ns2:FileClassificationMode" minOccurs="0"/>
                <xsd:element ref="ns2:FileNameDescription" minOccurs="0"/>
                <xsd:element ref="ns2:ProjectNumber" minOccurs="0"/>
                <xsd:element ref="ns2:OperatingUnit" minOccurs="0"/>
                <xsd:element ref="ns2:Language" minOccurs="0"/>
                <xsd:element ref="ns2:FunctionalArea" minOccurs="0"/>
                <xsd:element ref="ns2:OutputNumber" minOccurs="0"/>
                <xsd:element ref="ns2:DocumentStatus" minOccurs="0"/>
                <xsd:element ref="ns2:DocCoverageStartDate" minOccurs="0"/>
                <xsd:element ref="ns2:DocCoverageEndDate" minOccurs="0"/>
                <xsd:element ref="ns2:FocusArea" minOccurs="0"/>
                <xsd:element ref="ns2:AuthorName" minOccurs="0"/>
                <xsd:element ref="ns2:OfficeCountry" minOccurs="0"/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EventDate" minOccurs="0"/>
                <xsd:element ref="ns2:ProjectDocumentTyp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f0e28-81d2-4dc7-8b10-820d80ed680d" elementFormDefault="qualified">
    <xsd:import namespace="http://schemas.microsoft.com/office/2006/documentManagement/types"/>
    <xsd:import namespace="http://schemas.microsoft.com/office/infopath/2007/PartnerControls"/>
    <xsd:element name="DocumentCategory" ma:index="8" nillable="true" ma:displayName="DocumentCategory" ma:format="Dropdown" ma:indexed="true" ma:internalName="DocumentCategory">
      <xsd:simpleType>
        <xsd:restriction base="dms:Text">
          <xsd:maxLength value="255"/>
        </xsd:restriction>
      </xsd:simpleType>
    </xsd:element>
    <xsd:element name="DocumentType" ma:index="9" nillable="true" ma:displayName="DocumentType" ma:format="Dropdown" ma:indexed="true" ma:internalName="DocumentType">
      <xsd:simpleType>
        <xsd:restriction base="dms:Text">
          <xsd:maxLength value="255"/>
        </xsd:restriction>
      </xsd:simpleType>
    </xsd:element>
    <xsd:element name="FileClassificationMode" ma:index="10" nillable="true" ma:displayName="FileClassificationMode" ma:format="Dropdown" ma:indexed="true" ma:internalName="FileClassificationMode">
      <xsd:simpleType>
        <xsd:restriction base="dms:Text">
          <xsd:maxLength value="255"/>
        </xsd:restriction>
      </xsd:simpleType>
    </xsd:element>
    <xsd:element name="FileNameDescription" ma:index="11" nillable="true" ma:displayName="FileNameDescription" ma:format="Dropdown" ma:indexed="true" ma:internalName="FileNameDescription">
      <xsd:simpleType>
        <xsd:restriction base="dms:Text">
          <xsd:maxLength value="255"/>
        </xsd:restriction>
      </xsd:simpleType>
    </xsd:element>
    <xsd:element name="ProjectNumber" ma:index="12" nillable="true" ma:displayName="ProjectNumber" ma:format="Dropdown" ma:indexed="true" ma:internalName="ProjectNumber">
      <xsd:simpleType>
        <xsd:restriction base="dms:Text">
          <xsd:maxLength value="255"/>
        </xsd:restriction>
      </xsd:simpleType>
    </xsd:element>
    <xsd:element name="OperatingUnit" ma:index="13" nillable="true" ma:displayName="OperatingUnit" ma:format="Dropdown" ma:indexed="true" ma:internalName="OperatingUnit">
      <xsd:simpleType>
        <xsd:restriction base="dms:Text">
          <xsd:maxLength value="255"/>
        </xsd:restriction>
      </xsd:simpleType>
    </xsd:element>
    <xsd:element name="Language" ma:index="14" nillable="true" ma:displayName="Language" ma:format="Dropdown" ma:internalName="Language">
      <xsd:simpleType>
        <xsd:restriction base="dms:Text">
          <xsd:maxLength value="255"/>
        </xsd:restriction>
      </xsd:simpleType>
    </xsd:element>
    <xsd:element name="FunctionalArea" ma:index="15" nillable="true" ma:displayName="FunctionalArea" ma:format="Dropdown" ma:internalName="FunctionalArea">
      <xsd:simpleType>
        <xsd:restriction base="dms:Text">
          <xsd:maxLength value="255"/>
        </xsd:restriction>
      </xsd:simpleType>
    </xsd:element>
    <xsd:element name="OutputNumber" ma:index="16" nillable="true" ma:displayName="OutputNumber" ma:format="Dropdown" ma:indexed="true" ma:internalName="OutputNumber">
      <xsd:simpleType>
        <xsd:restriction base="dms:Text">
          <xsd:maxLength value="255"/>
        </xsd:restriction>
      </xsd:simpleType>
    </xsd:element>
    <xsd:element name="DocumentStatus" ma:index="17" nillable="true" ma:displayName="DocumentStatus" ma:format="Dropdown" ma:internalName="DocumentStatus">
      <xsd:simpleType>
        <xsd:restriction base="dms:Text">
          <xsd:maxLength value="255"/>
        </xsd:restriction>
      </xsd:simpleType>
    </xsd:element>
    <xsd:element name="DocCoverageStartDate" ma:index="18" nillable="true" ma:displayName="DocCoverageStartDate" ma:default="[today]" ma:format="DateOnly" ma:indexed="true" ma:internalName="DocCoverageStartDate">
      <xsd:simpleType>
        <xsd:restriction base="dms:DateTime"/>
      </xsd:simpleType>
    </xsd:element>
    <xsd:element name="DocCoverageEndDate" ma:index="19" nillable="true" ma:displayName="DocCoverageEndDate" ma:format="DateOnly" ma:internalName="DocCoverageEndDate">
      <xsd:simpleType>
        <xsd:restriction base="dms:DateTime"/>
      </xsd:simpleType>
    </xsd:element>
    <xsd:element name="FocusArea" ma:index="20" nillable="true" ma:displayName="FocusArea" ma:format="Dropdown" ma:indexed="true" ma:internalName="FocusArea">
      <xsd:simpleType>
        <xsd:restriction base="dms:Text">
          <xsd:maxLength value="255"/>
        </xsd:restriction>
      </xsd:simpleType>
    </xsd:element>
    <xsd:element name="AuthorName" ma:index="21" nillable="true" ma:displayName="AuthorName" ma:format="Dropdown" ma:indexed="true" ma:internalName="AuthorName">
      <xsd:simpleType>
        <xsd:restriction base="dms:Text">
          <xsd:maxLength value="255"/>
        </xsd:restriction>
      </xsd:simpleType>
    </xsd:element>
    <xsd:element name="OfficeCountry" ma:index="22" nillable="true" ma:displayName="OfficeCountry" ma:format="Dropdown" ma:indexed="true" ma:internalName="OfficeCountry">
      <xsd:simpleType>
        <xsd:restriction base="dms:Text">
          <xsd:maxLength value="255"/>
        </xsd:restriction>
      </xsd:simpleType>
    </xsd:element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f8ebb0a5-c57d-4c3a-bec7-8a38252dd0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3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3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3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EventDate" ma:index="36" nillable="true" ma:displayName="EventDate" ma:format="DateOnly" ma:internalName="EventDate">
      <xsd:simpleType>
        <xsd:restriction base="dms:DateTime"/>
      </xsd:simpleType>
    </xsd:element>
    <xsd:element name="ProjectDocumentTypes" ma:index="37" nillable="true" ma:displayName="ProjectDocumentTypes" ma:format="Dropdown" ma:internalName="ProjectDocumentTypes">
      <xsd:simpleType>
        <xsd:restriction base="dms:Choice">
          <xsd:enumeration value="Project Board Meeting Minutes"/>
          <xsd:enumeration value="Monitoring/Field visit report"/>
          <xsd:enumeration value="Sustainability Plan"/>
          <xsd:enumeration value="Combined Delivery reports (CDR)"/>
        </xsd:restriction>
      </xsd:simpleType>
    </xsd:element>
    <xsd:element name="MediaServiceBillingMetadata" ma:index="3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1d5986-7c29-4ed1-8a54-b8fb378ed474" elementFormDefault="qualified">
    <xsd:import namespace="http://schemas.microsoft.com/office/2006/documentManagement/types"/>
    <xsd:import namespace="http://schemas.microsoft.com/office/infopath/2007/PartnerControls"/>
    <xsd:element name="TaxCatchAll" ma:index="28" nillable="true" ma:displayName="Taxonomy Catch All Column" ma:hidden="true" ma:list="{89ecd518-8760-4857-902e-5583cb61199f}" ma:internalName="TaxCatchAll" ma:showField="CatchAllData" ma:web="e91d5986-7c29-4ed1-8a54-b8fb378ed4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fficeCountry xmlns="d9cf0e28-81d2-4dc7-8b10-820d80ed680d">B0587 - Montenegro - Podjorica</OfficeCountry>
    <DocumentStatus xmlns="d9cf0e28-81d2-4dc7-8b10-820d80ed680d">Approved</DocumentStatus>
    <DocCoverageEndDate xmlns="d9cf0e28-81d2-4dc7-8b10-820d80ed680d">2025-12-31T05:00:00+00:00</DocCoverageEndDate>
    <TaxCatchAll xmlns="e91d5986-7c29-4ed1-8a54-b8fb378ed474" xsi:nil="true"/>
    <EventDate xmlns="d9cf0e28-81d2-4dc7-8b10-820d80ed680d" xsi:nil="true"/>
    <ProjectDocumentTypes xmlns="d9cf0e28-81d2-4dc7-8b10-820d80ed680d" xsi:nil="true"/>
    <FunctionalArea xmlns="d9cf0e28-81d2-4dc7-8b10-820d80ed680d" xsi:nil="true"/>
    <FileNameDescription xmlns="d9cf0e28-81d2-4dc7-8b10-820d80ed680d">Financial progress report</FileNameDescription>
    <ProjectNumber xmlns="d9cf0e28-81d2-4dc7-8b10-820d80ed680d">01001578</ProjectNumber>
    <DocumentType xmlns="d9cf0e28-81d2-4dc7-8b10-820d80ed680d">Progress Report</DocumentType>
    <Language xmlns="d9cf0e28-81d2-4dc7-8b10-820d80ed680d">English</Language>
    <AuthorName xmlns="d9cf0e28-81d2-4dc7-8b10-820d80ed680d">UNDP</AuthorName>
    <DocumentCategory xmlns="d9cf0e28-81d2-4dc7-8b10-820d80ed680d">Project</DocumentCategory>
    <OperatingUnit xmlns="d9cf0e28-81d2-4dc7-8b10-820d80ed680d">UNDP-MNE</OperatingUnit>
    <lcf76f155ced4ddcb4097134ff3c332f xmlns="d9cf0e28-81d2-4dc7-8b10-820d80ed680d">
      <Terms xmlns="http://schemas.microsoft.com/office/infopath/2007/PartnerControls"/>
    </lcf76f155ced4ddcb4097134ff3c332f>
    <FocusArea xmlns="d9cf0e28-81d2-4dc7-8b10-820d80ed680d" xsi:nil="true"/>
    <DocCoverageStartDate xmlns="d9cf0e28-81d2-4dc7-8b10-820d80ed680d">2025-01-01T00:00:00+00:00</DocCoverageStartDate>
    <FileClassificationMode xmlns="d9cf0e28-81d2-4dc7-8b10-820d80ed680d">Public</FileClassificationMode>
    <OutputNumber xmlns="d9cf0e28-81d2-4dc7-8b10-820d80ed680d" xsi:nil="true"/>
  </documentManagement>
</p:properties>
</file>

<file path=customXml/itemProps1.xml><?xml version="1.0" encoding="utf-8"?>
<ds:datastoreItem xmlns:ds="http://schemas.openxmlformats.org/officeDocument/2006/customXml" ds:itemID="{72DE7308-F79D-4F3C-B1C6-49D88F0D07EC}"/>
</file>

<file path=customXml/itemProps2.xml><?xml version="1.0" encoding="utf-8"?>
<ds:datastoreItem xmlns:ds="http://schemas.openxmlformats.org/officeDocument/2006/customXml" ds:itemID="{3B84A2A2-F454-4D96-8ACF-3003395CFD83}"/>
</file>

<file path=customXml/itemProps3.xml><?xml version="1.0" encoding="utf-8"?>
<ds:datastoreItem xmlns:ds="http://schemas.openxmlformats.org/officeDocument/2006/customXml" ds:itemID="{B89E78ED-B21B-4410-AC6F-99E03A278D2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Budget</vt:lpstr>
      <vt:lpstr>Budget by UNDG Category</vt:lpstr>
      <vt:lpstr>Budget!UNDG_Budget_Category__please_choose_the_budget_category_from_the_drop_down_menu</vt:lpstr>
      <vt:lpstr>'Budget by UNDG Category'!UNDG_Budget_Category__please_choose_the_budget_category_from_the_drop_down_menu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Financial progress report</dc:title>
  <dc:creator>MPTF Secretariat</dc:creator>
  <cp:lastModifiedBy>Gordan Ivanovic</cp:lastModifiedBy>
  <dcterms:created xsi:type="dcterms:W3CDTF">2023-04-27T18:59:58Z</dcterms:created>
  <dcterms:modified xsi:type="dcterms:W3CDTF">2026-02-12T13:18:20Z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0x010100155F732436BD414ABE4F9007290F88BC</vt:lpwstr>
  </property>
  <property fmtid="{D5CDD505-2E9C-101B-9397-08002B2CF9AE}" pid="3" name="MediaServiceImageTags">
    <vt:lpwstr/>
  </property>
</Properties>
</file>